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0EAA3B78-7912-4647-AD7B-96CD3A0ECA52}" xr6:coauthVersionLast="47" xr6:coauthVersionMax="47" xr10:uidLastSave="{00000000-0000-0000-0000-000000000000}"/>
  <bookViews>
    <workbookView xWindow="-120" yWindow="-120" windowWidth="21840" windowHeight="13020" xr2:uid="{B7EEA4CE-5BA4-4C9F-B590-722BE0A2C1A3}"/>
  </bookViews>
  <sheets>
    <sheet name="Sheet1 (2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3" i="4" l="1"/>
  <c r="I102" i="4"/>
  <c r="H102" i="4"/>
  <c r="J102" i="4" s="1"/>
  <c r="E102" i="4"/>
  <c r="D102" i="4"/>
  <c r="D101" i="4"/>
  <c r="I100" i="4"/>
  <c r="H100" i="4"/>
  <c r="J100" i="4" s="1"/>
  <c r="E100" i="4"/>
  <c r="D100" i="4"/>
  <c r="D99" i="4"/>
  <c r="D98" i="4"/>
  <c r="E98" i="4" s="1"/>
  <c r="D95" i="4"/>
  <c r="D94" i="4"/>
  <c r="E94" i="4" s="1"/>
  <c r="D93" i="4"/>
  <c r="E92" i="4" s="1"/>
  <c r="D92" i="4"/>
  <c r="D90" i="4"/>
  <c r="D89" i="4"/>
  <c r="D91" i="4" s="1"/>
  <c r="D88" i="4"/>
  <c r="E88" i="4" s="1"/>
  <c r="D87" i="4"/>
  <c r="D86" i="4"/>
  <c r="E86" i="4" s="1"/>
  <c r="D85" i="4"/>
  <c r="D82" i="4"/>
  <c r="D80" i="4"/>
  <c r="D78" i="4"/>
  <c r="D77" i="4"/>
  <c r="E76" i="4" s="1"/>
  <c r="D76" i="4"/>
  <c r="D75" i="4"/>
  <c r="D83" i="4" s="1"/>
  <c r="D74" i="4"/>
  <c r="E74" i="4" s="1"/>
  <c r="D73" i="4"/>
  <c r="D71" i="4"/>
  <c r="D69" i="4"/>
  <c r="D67" i="4"/>
  <c r="D66" i="4"/>
  <c r="D68" i="4" s="1"/>
  <c r="D61" i="4"/>
  <c r="G60" i="4"/>
  <c r="C60" i="4"/>
  <c r="E58" i="4"/>
  <c r="C58" i="4"/>
  <c r="D42" i="4"/>
  <c r="D40" i="4"/>
  <c r="D96" i="4" s="1"/>
  <c r="D39" i="4"/>
  <c r="K37" i="4"/>
  <c r="K20" i="4"/>
  <c r="K16" i="4"/>
  <c r="K11" i="4"/>
  <c r="D11" i="4"/>
  <c r="D84" i="4" s="1"/>
  <c r="E84" i="4" s="1"/>
  <c r="H92" i="4" l="1"/>
  <c r="I92" i="4"/>
  <c r="I84" i="4"/>
  <c r="H84" i="4"/>
  <c r="J84" i="4" s="1"/>
  <c r="I74" i="4"/>
  <c r="H74" i="4"/>
  <c r="J74" i="4" s="1"/>
  <c r="H76" i="4"/>
  <c r="J76" i="4" s="1"/>
  <c r="I76" i="4"/>
  <c r="I94" i="4"/>
  <c r="H94" i="4"/>
  <c r="J94" i="4" s="1"/>
  <c r="I98" i="4"/>
  <c r="H98" i="4"/>
  <c r="J98" i="4" s="1"/>
  <c r="E78" i="4"/>
  <c r="E82" i="4"/>
  <c r="I86" i="4"/>
  <c r="H86" i="4"/>
  <c r="I88" i="4"/>
  <c r="H88" i="4"/>
  <c r="J88" i="4" s="1"/>
  <c r="D70" i="4"/>
  <c r="E68" i="4"/>
  <c r="E90" i="4"/>
  <c r="E66" i="4"/>
  <c r="D41" i="4"/>
  <c r="D97" i="4" s="1"/>
  <c r="E96" i="4" s="1"/>
  <c r="D79" i="4"/>
  <c r="D81" i="4"/>
  <c r="E80" i="4" s="1"/>
  <c r="I96" i="4" l="1"/>
  <c r="H96" i="4"/>
  <c r="J96" i="4" s="1"/>
  <c r="I82" i="4"/>
  <c r="H82" i="4"/>
  <c r="J82" i="4" s="1"/>
  <c r="I80" i="4"/>
  <c r="H80" i="4"/>
  <c r="J80" i="4" s="1"/>
  <c r="I78" i="4"/>
  <c r="H78" i="4"/>
  <c r="J78" i="4" s="1"/>
  <c r="I90" i="4"/>
  <c r="H90" i="4"/>
  <c r="J90" i="4" s="1"/>
  <c r="I68" i="4"/>
  <c r="H68" i="4"/>
  <c r="J68" i="4" s="1"/>
  <c r="I66" i="4"/>
  <c r="H66" i="4"/>
  <c r="E70" i="4"/>
  <c r="D72" i="4"/>
  <c r="E72" i="4" s="1"/>
  <c r="J86" i="4"/>
  <c r="J92" i="4"/>
  <c r="J66" i="4" l="1"/>
  <c r="I104" i="4"/>
  <c r="I72" i="4"/>
  <c r="H72" i="4"/>
  <c r="J72" i="4" s="1"/>
  <c r="I70" i="4"/>
  <c r="H70" i="4"/>
  <c r="J70" i="4" s="1"/>
  <c r="H104" i="4" l="1"/>
  <c r="J106" i="4" s="1"/>
  <c r="J108" i="4" s="1"/>
</calcChain>
</file>

<file path=xl/sharedStrings.xml><?xml version="1.0" encoding="utf-8"?>
<sst xmlns="http://schemas.openxmlformats.org/spreadsheetml/2006/main" count="280" uniqueCount="230">
  <si>
    <t>सहकारी संस्थाको जोखिमावस्था विश्लेषण</t>
  </si>
  <si>
    <t>सहकारी संस्थाको नाम :</t>
  </si>
  <si>
    <t>ठेगाना :</t>
  </si>
  <si>
    <t>दर्ता नं.</t>
  </si>
  <si>
    <t>साल :</t>
  </si>
  <si>
    <t>महिना</t>
  </si>
  <si>
    <t>मसान्त सम्मको विवरण</t>
  </si>
  <si>
    <t>सि.नं.</t>
  </si>
  <si>
    <t>विवरण</t>
  </si>
  <si>
    <t>रकम/संख्या</t>
  </si>
  <si>
    <t>निर्देशन</t>
  </si>
  <si>
    <t>ऋण वर्गीकरणको अनुसूचीबाट</t>
  </si>
  <si>
    <t>जम्मा भाखा नाघेको ऋण</t>
  </si>
  <si>
    <t>यसमा भर्नु पर्दैन</t>
  </si>
  <si>
    <t>शेयर पूँजि जम्मा</t>
  </si>
  <si>
    <t>वासलात हि नं १०</t>
  </si>
  <si>
    <t>जगेडा कोष</t>
  </si>
  <si>
    <t>वासलात हि नं २०.१</t>
  </si>
  <si>
    <t>वासलात हि नं २०.२</t>
  </si>
  <si>
    <t>१ वर्षमा खर्च नहुने कोषहरुको जोड</t>
  </si>
  <si>
    <t>बचत/ निक्षेप</t>
  </si>
  <si>
    <t>वासलात हि नं ३०</t>
  </si>
  <si>
    <t>बाह्रय ऋण</t>
  </si>
  <si>
    <t>वासलात हि नं ४०</t>
  </si>
  <si>
    <t>चालु दायित्व</t>
  </si>
  <si>
    <t>वासलात हि नं ६० र ७०</t>
  </si>
  <si>
    <t>नगद</t>
  </si>
  <si>
    <t>वासलात हि नं ८०</t>
  </si>
  <si>
    <t>बैंक (तरल लगानी)</t>
  </si>
  <si>
    <t>वासलात हि नं ९० मा ब्याज प्राप्त हुने</t>
  </si>
  <si>
    <t>लगानी हिसाव</t>
  </si>
  <si>
    <t>वासलात हि नं १००</t>
  </si>
  <si>
    <t>सदस्यलाई ऋण लगानी</t>
  </si>
  <si>
    <t>वासलात हि नं ११०</t>
  </si>
  <si>
    <t>पाउनु पर्ने हिसाव</t>
  </si>
  <si>
    <t>वासलात हि नं १२०</t>
  </si>
  <si>
    <t xml:space="preserve">स्थीर सम्पत्ति </t>
  </si>
  <si>
    <t>वासलात हि नं १३०</t>
  </si>
  <si>
    <t>अन्य सम्पत्ति</t>
  </si>
  <si>
    <t>वासलात हि नं १४०</t>
  </si>
  <si>
    <t>समस्याग्रस्त सम्पत्ति</t>
  </si>
  <si>
    <t>लिलाम गर्नुपर्ने स्थीर सम्पत्ति</t>
  </si>
  <si>
    <t>कूल सम्पत्ति</t>
  </si>
  <si>
    <t>वासलातको कुल जम्मा</t>
  </si>
  <si>
    <t>गत वर्षको जम्मा सम्पत्ति</t>
  </si>
  <si>
    <t>वासलातबाट</t>
  </si>
  <si>
    <t>गत वर्षको शेयर</t>
  </si>
  <si>
    <t>गत वर्षको बचत</t>
  </si>
  <si>
    <t>गत वर्षको ऋण लगानी</t>
  </si>
  <si>
    <t>ऋणबाट ब्याज आम्दानी</t>
  </si>
  <si>
    <t>आय-व्यय हिसावबाट</t>
  </si>
  <si>
    <t>बचतमा ब्याज खर्च</t>
  </si>
  <si>
    <t>सञ्चालन खर्च</t>
  </si>
  <si>
    <t>खुद बचत (कर पश्चातको)</t>
  </si>
  <si>
    <t>यस वर्षको सदस्य संख्या</t>
  </si>
  <si>
    <t>लङफर्मबाट</t>
  </si>
  <si>
    <t>गत वर्षको सदस्य संख्या</t>
  </si>
  <si>
    <t>सदस्यको नियमित बचत रकम</t>
  </si>
  <si>
    <t>हिसाव नं ३० को नियमित मासिक बचत मात्र</t>
  </si>
  <si>
    <t>सदस्यको पुँजी (शेयर पुँजी+जगेडा कोष+घाटापूर्ति कोष)</t>
  </si>
  <si>
    <t>जम्मा पूँजि (सदस्यको पुँजी+बचत+तिर्नुपर्ने ऋण)</t>
  </si>
  <si>
    <t>तटस्थ श्रोत संयोग विन्दु समायोजन अंक</t>
  </si>
  <si>
    <t>एक वर्षमा ऋण लिने सदस्य संख्या</t>
  </si>
  <si>
    <t xml:space="preserve">१ वर्षको ऋणी संख्या </t>
  </si>
  <si>
    <t>साधारणसभामा उपस्थित संख्या</t>
  </si>
  <si>
    <t>बार्षिक साधारणसभाबाट</t>
  </si>
  <si>
    <t>विशेष साधारणसभामा उपस्थित संख्या</t>
  </si>
  <si>
    <t>विशेष साधारणसभा भए सोबाट</t>
  </si>
  <si>
    <t>विस्तारित मञ्चमा उपस्थित संख्या</t>
  </si>
  <si>
    <t>विस्तारित मञ्च गरेको भए</t>
  </si>
  <si>
    <t>सदस्यसँगको जम्मा खरीद</t>
  </si>
  <si>
    <t>सदस्यको उत्पादन खरीद सहायक खाताबाट</t>
  </si>
  <si>
    <t>जम्मा खरीद</t>
  </si>
  <si>
    <t>आय-व्ययबाट</t>
  </si>
  <si>
    <t xml:space="preserve">सदस्यलाई जम्मा विक्री </t>
  </si>
  <si>
    <t>सदस्यलाई विक्री सहायक खाताबाट</t>
  </si>
  <si>
    <t>जम्मा विक्री</t>
  </si>
  <si>
    <t>नोट: यो विवरण बर्षको २ पटक माघ र आषाढमा भरी पठाउने व्यवस्था गर्ने । यसभन्दा तलको विवरण भर्नु पर्दैन ।</t>
  </si>
  <si>
    <t>अनुसूचि-१ र ९</t>
  </si>
  <si>
    <t>बचत ऋण सहकारी संस्थाको प्रारम्भिक वित्तीय लेखाजोखा फाराम</t>
  </si>
  <si>
    <t>(दफा ८ को उपदफा (२) सँग सम्बन्धित)</t>
  </si>
  <si>
    <t xml:space="preserve">साल </t>
  </si>
  <si>
    <t>महिनाको</t>
  </si>
  <si>
    <t>पर्ल्स तथा सदस्य केन्द्रीयता प्रतिवेदन</t>
  </si>
  <si>
    <t>संस्थाको नाम :</t>
  </si>
  <si>
    <t xml:space="preserve">दर्ता नं. : </t>
  </si>
  <si>
    <t>ठेगाना</t>
  </si>
  <si>
    <t>नियामक निकाय : प्रदेश सहकारी रजिष्ट्रार तथा प्रशिक्षण कार्यालय</t>
  </si>
  <si>
    <t>प्रदेश : कोशी प्रदेश</t>
  </si>
  <si>
    <t>कोशी प्रदेश, इनरुवा सुनसरी</t>
  </si>
  <si>
    <t>सि नं.</t>
  </si>
  <si>
    <t>सूचक</t>
  </si>
  <si>
    <t>सूत्र</t>
  </si>
  <si>
    <t>यथार्थ मान</t>
  </si>
  <si>
    <t>अपेक्षित मान सिमाङ्कन</t>
  </si>
  <si>
    <t>पालना अवस्था</t>
  </si>
  <si>
    <t>संकेत रङ</t>
  </si>
  <si>
    <t>कैफियत</t>
  </si>
  <si>
    <t>अंक (रु.)</t>
  </si>
  <si>
    <t>अनुपात</t>
  </si>
  <si>
    <t>सामान्य अनुपात</t>
  </si>
  <si>
    <t>विस्तारित अनुपात</t>
  </si>
  <si>
    <t>(%)</t>
  </si>
  <si>
    <t>(√/x)</t>
  </si>
  <si>
    <t>ऋण हानि व्यवस्था (पी१)</t>
  </si>
  <si>
    <t>जम्मा व्यवस्था गरेको रकम</t>
  </si>
  <si>
    <t>&gt;९०</t>
  </si>
  <si>
    <t>१२ महिना भन्दा बढी भाखा नाघेको ऋण</t>
  </si>
  <si>
    <t>ऋण हानि खुद व्यवस्था (पी२)</t>
  </si>
  <si>
    <t>असल ऋणका लागि जोखिम व्यवस्था (पी२ एक्स )</t>
  </si>
  <si>
    <t>खुद ऋण – कुल सम्पत्ति अनुपात (इ१)</t>
  </si>
  <si>
    <t>[जम्मा लगानीमा रहेको ऋण — जम्मा (गर्नुपर्ने) ऋण हानि व्यवस्था]</t>
  </si>
  <si>
    <t>७०-८०</t>
  </si>
  <si>
    <t>६०-९०</t>
  </si>
  <si>
    <t>कुल सम्पत्ति</t>
  </si>
  <si>
    <t>बचत दायित्व – कुल सम्पत्ति अनुपात (इ५)</t>
  </si>
  <si>
    <t>जम्मा बचत दायित्व</t>
  </si>
  <si>
    <t>ऋण दायित्व – कुल सम्पत्ति अनुपात (इ६)</t>
  </si>
  <si>
    <t>जम्मा तिर्नु पर्ने ऋण</t>
  </si>
  <si>
    <t>&lt; ५</t>
  </si>
  <si>
    <t>&lt; ७.५</t>
  </si>
  <si>
    <t>अंसधन – कुल सम्पत्ति अनुपात (इ७)</t>
  </si>
  <si>
    <t>जम्मा अंशधन</t>
  </si>
  <si>
    <t>१० -२०</t>
  </si>
  <si>
    <t>७.५–२५</t>
  </si>
  <si>
    <t>संस्थागत पुँजी – कुल सम्पत्ति अनुपात (इ८)</t>
  </si>
  <si>
    <t>कुल सँस्थागत पुँजी</t>
  </si>
  <si>
    <t>&gt; १०</t>
  </si>
  <si>
    <t>&gt; ७.५</t>
  </si>
  <si>
    <t>भाखा नाघेको ऋण अनुपात (ए१)</t>
  </si>
  <si>
    <t>भाखा नाघेको ऋण</t>
  </si>
  <si>
    <t>≤ ५</t>
  </si>
  <si>
    <t>≤ ७.५</t>
  </si>
  <si>
    <t>जम्मा लगानीमा रहेको ऋण</t>
  </si>
  <si>
    <t>कुल सम्पत्ति र नकमाउने सम्पत्तिको अनुपात (ए२)</t>
  </si>
  <si>
    <t>नकमाउने सम्पत्ति</t>
  </si>
  <si>
    <t>जम्मा सञ्चालन खर्च – कुल औसत सम्पत्ति अनुपात (आर९)</t>
  </si>
  <si>
    <t>ऋण हानी व्यवस्था बाहेको जम्मा सञ्चालन खर्च</t>
  </si>
  <si>
    <t>(आरम्भको कूल सम्पत्ति+ अन्तको कुल सम्पत्ति)/२</t>
  </si>
  <si>
    <t xml:space="preserve"> खुद बचत (उबार) – कुल औसत सम्पत्ति अनुपात (आर१२)</t>
  </si>
  <si>
    <t>खुद बार्षिक बचत (उबार)</t>
  </si>
  <si>
    <t>≥ १०</t>
  </si>
  <si>
    <t>≥ ५</t>
  </si>
  <si>
    <t>तरलता जगेडा – बचत दायित्व (एल२)</t>
  </si>
  <si>
    <t>जम्मा तरलता कोष</t>
  </si>
  <si>
    <t>७.५ -१५</t>
  </si>
  <si>
    <t>जायजेथा  वृद्धिदर (एस११)</t>
  </si>
  <si>
    <t>(हालको कुल सम्पत्ति- अघिल्लो वर्षान्तको कुल सम्पत्ति)</t>
  </si>
  <si>
    <t>≥ ७.५</t>
  </si>
  <si>
    <t>अघिल्लो वर्षान्तको कुल सम्पत्ति</t>
  </si>
  <si>
    <t>संस्थापकीय सरोकार</t>
  </si>
  <si>
    <t>सदस्यको पुँजी+नियमित बचत</t>
  </si>
  <si>
    <t>&gt;६०</t>
  </si>
  <si>
    <t>&gt;४५</t>
  </si>
  <si>
    <t>जम्मा पुँजी+तटस्थ श्रोत संयोग विन्दु</t>
  </si>
  <si>
    <t>संचालकीय सक्रियता</t>
  </si>
  <si>
    <t>वर्षमा सदस्य बैठक (साधारण+विशेष+विस्तारित)</t>
  </si>
  <si>
    <t>‍औषत जम्मा सदस्य*६</t>
  </si>
  <si>
    <t>संरक्षकीय सम्बन्धन (वित्तीय)</t>
  </si>
  <si>
    <t>वर्षभरी एकपल्ट ऋण लिने सदस्य संख्या</t>
  </si>
  <si>
    <t>बार्षिक औषत जम्मा सदस्य</t>
  </si>
  <si>
    <t>संरक्षकीय सम्बन्धन (उत्पादक)</t>
  </si>
  <si>
    <t>सदस्यसँगको वार्षिक खरिद र विक्री रु</t>
  </si>
  <si>
    <t>जम्मा वार्षिक खरीद र विक्री वा ९३९९३*सदस्य संख्या</t>
  </si>
  <si>
    <t>अनुसूचि-१२ (प्रारम्भिक लेखाजोखामा आधारित जोखिमावस्था)</t>
  </si>
  <si>
    <t>जम्मा सूचक पालना</t>
  </si>
  <si>
    <t>जोखिम बर्गीकरण</t>
  </si>
  <si>
    <t>जोखिम</t>
  </si>
  <si>
    <t>रंग</t>
  </si>
  <si>
    <t>संस्थाको अवस्था</t>
  </si>
  <si>
    <t>६ वटा वा घटी सूचकमा सामान्य वा विस्तारित मान सीमाङ्कनको पालना गरेकोमा</t>
  </si>
  <si>
    <t>उच्च जोखिमावस्था</t>
  </si>
  <si>
    <t>७ वटा देखि ११ वटा सम्म सूचकमा सामान्य वा विस्तारित मान सीमाङ्कनको पालना गरेकोमा</t>
  </si>
  <si>
    <t>मध्यम जोखिमावस्था</t>
  </si>
  <si>
    <t>१२ वटा वा वढी सूचकमा सामान्य वा विस्तारित मान सीमाङ्कनको पालना गरेकोमा</t>
  </si>
  <si>
    <t>न्यून जोखिमावस्था</t>
  </si>
  <si>
    <t>न्यूनतम् १२ वा वढी सूचकमा सामान्य र बाँकी सूचकमा विस्तारित मान सिमाङ्कन पालना गरेकोमा</t>
  </si>
  <si>
    <t>अति न्यून जोखिमावस्था</t>
  </si>
  <si>
    <t xml:space="preserve">विवरण </t>
  </si>
  <si>
    <t>जम्मा आम्दानी</t>
  </si>
  <si>
    <t>जम्मा खर्च</t>
  </si>
  <si>
    <t>संचालक समिति सदस्य</t>
  </si>
  <si>
    <t>महिला</t>
  </si>
  <si>
    <t>पुरुष</t>
  </si>
  <si>
    <t>संस्थागत</t>
  </si>
  <si>
    <t>जम्मा</t>
  </si>
  <si>
    <t>शेयर सदस्य</t>
  </si>
  <si>
    <t>कर्मचारी</t>
  </si>
  <si>
    <t>सम्मर्क नं.</t>
  </si>
  <si>
    <t>इमेल</t>
  </si>
  <si>
    <t>संस्थाले तिरेका करहरुको विवरण</t>
  </si>
  <si>
    <t>यसवर्षको लेखापरीक्षणका आधारमा भर्ने</t>
  </si>
  <si>
    <t>करको नाम</t>
  </si>
  <si>
    <t>आयकर</t>
  </si>
  <si>
    <t>व्याजकर</t>
  </si>
  <si>
    <t>लाभांशकर</t>
  </si>
  <si>
    <t>लेपकर</t>
  </si>
  <si>
    <t>ढुवानीकर</t>
  </si>
  <si>
    <t>विज्ञापनकर</t>
  </si>
  <si>
    <t>व्यवसायकर</t>
  </si>
  <si>
    <t>अन्य भए</t>
  </si>
  <si>
    <t>कमसल ऋण (९१ देखि १८० दिनसम्म किस्ता भाखा नाघेको)</t>
  </si>
  <si>
    <t>असल ऋण (१ देखि ९० दिनसम्म किस्ता भाखा नाघेको)</t>
  </si>
  <si>
    <t>संकास्पद ऋण (१८१ देखि ३६५ दिनसम्म किस्ता भाखानाघेको)</t>
  </si>
  <si>
    <t>खराव ऋण (भाखा नाघेको ३६५ दिन माथिको)</t>
  </si>
  <si>
    <t>ऋण जोखिम कोष व्यवस्था जम्मा</t>
  </si>
  <si>
    <t>घाटापूर्ति कोष</t>
  </si>
  <si>
    <t>अंक</t>
  </si>
  <si>
    <t xml:space="preserve">स्थानीय तह : </t>
  </si>
  <si>
    <t xml:space="preserve">वडा : </t>
  </si>
  <si>
    <t>ऋण हानि खुद व्यवस्था (पी२ए)</t>
  </si>
  <si>
    <t>(खुद व्यवस्था गरेको रकम — १२ महिना बढी भाखा नाघेको ऋण)</t>
  </si>
  <si>
    <t>६ देखि १२ महिना भाखा नाघेको ऋण</t>
  </si>
  <si>
    <t>(खुद व्यवस्था गरेको रकम — ६ देखि १२ महिना भाखा नाघेको ऋण)</t>
  </si>
  <si>
    <t>३ देखि ६ महिना भाखा नाघेको ऋण</t>
  </si>
  <si>
    <t>खुद ऋण नोक्सानी व्यवस्था गरेको रकम</t>
  </si>
  <si>
    <t>जम्मा असल ऋणको रकम (३ म.सम्म)</t>
  </si>
  <si>
    <t>&gt;२०</t>
  </si>
  <si>
    <t>&gt;०.७५</t>
  </si>
  <si>
    <t xml:space="preserve">अन्य दीर्घकालिन कोष </t>
  </si>
  <si>
    <t xml:space="preserve">बैंक </t>
  </si>
  <si>
    <t>वासलात हि नं ९० मा चल्ती खाता मात्र</t>
  </si>
  <si>
    <t>मु.अ.कर</t>
  </si>
  <si>
    <t>बैठकभत्ता कर</t>
  </si>
  <si>
    <t>सा.सु.कर</t>
  </si>
  <si>
    <t>लाभान्वित बचत तथा ऋण सहकारी संस्था लि.</t>
  </si>
  <si>
    <t>विराटनगर-१६, मोरङ</t>
  </si>
  <si>
    <t>भाद्र</t>
  </si>
  <si>
    <t>-</t>
  </si>
  <si>
    <t>info.lavanwitbrt@gmail.com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</si>
</sst>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00439]0"/>
    <numFmt numFmtId="165" formatCode="[$-4000439]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Kokila"/>
      <family val="2"/>
    </font>
    <font>
      <sz val="8"/>
      <color theme="1"/>
      <name val="Calibri"/>
      <family val="2"/>
      <scheme val="minor"/>
    </font>
    <font>
      <b/>
      <sz val="14"/>
      <color theme="1"/>
      <name val="Kokila"/>
      <family val="2"/>
    </font>
    <font>
      <sz val="11"/>
      <color theme="1"/>
      <name val="Kokila"/>
      <family val="2"/>
    </font>
    <font>
      <b/>
      <sz val="16"/>
      <color theme="1"/>
      <name val="Kokila"/>
      <family val="2"/>
    </font>
    <font>
      <sz val="12"/>
      <color theme="1"/>
      <name val="Kokila"/>
      <family val="2"/>
    </font>
    <font>
      <b/>
      <sz val="11"/>
      <color theme="1"/>
      <name val="Kokila"/>
      <family val="2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Kokila"/>
      <family val="2"/>
    </font>
    <font>
      <b/>
      <sz val="8"/>
      <color theme="1"/>
      <name val="Kokila"/>
      <family val="2"/>
    </font>
    <font>
      <sz val="8"/>
      <color rgb="FF000000"/>
      <name val="Kokila"/>
      <family val="2"/>
    </font>
    <font>
      <sz val="8"/>
      <color theme="1"/>
      <name val="Times New Roman"/>
      <family val="1"/>
    </font>
    <font>
      <sz val="8"/>
      <color theme="1"/>
      <name val="Preeti"/>
    </font>
    <font>
      <sz val="8"/>
      <color rgb="FF000000"/>
      <name val="Preeti"/>
    </font>
    <font>
      <b/>
      <sz val="8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5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5" fillId="0" borderId="2" xfId="0" applyFont="1" applyBorder="1" applyProtection="1"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8" fillId="0" borderId="3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164" fontId="9" fillId="0" borderId="2" xfId="1" applyNumberFormat="1" applyBorder="1" applyAlignment="1" applyProtection="1">
      <alignment horizontal="left" vertical="center" wrapText="1"/>
      <protection locked="0"/>
    </xf>
    <xf numFmtId="164" fontId="5" fillId="0" borderId="2" xfId="0" applyNumberFormat="1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vertical="center"/>
      <protection locked="0"/>
    </xf>
    <xf numFmtId="0" fontId="10" fillId="0" borderId="0" xfId="0" applyFont="1"/>
    <xf numFmtId="0" fontId="12" fillId="0" borderId="0" xfId="0" applyFont="1"/>
    <xf numFmtId="0" fontId="3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1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12" fillId="0" borderId="20" xfId="0" applyNumberFormat="1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4" borderId="24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/>
    </xf>
    <xf numFmtId="0" fontId="12" fillId="6" borderId="24" xfId="0" applyFont="1" applyFill="1" applyBorder="1" applyAlignment="1">
      <alignment horizontal="center"/>
    </xf>
    <xf numFmtId="164" fontId="12" fillId="0" borderId="27" xfId="0" applyNumberFormat="1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7" borderId="3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 applyProtection="1">
      <alignment horizontal="center"/>
      <protection locked="0"/>
    </xf>
    <xf numFmtId="0" fontId="5" fillId="0" borderId="15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164" fontId="5" fillId="0" borderId="2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7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Alignment="1" applyProtection="1">
      <alignment horizontal="center" vertical="center"/>
      <protection locked="0"/>
    </xf>
    <xf numFmtId="164" fontId="5" fillId="0" borderId="3" xfId="0" applyNumberFormat="1" applyFont="1" applyBorder="1" applyAlignment="1" applyProtection="1">
      <alignment horizontal="center"/>
      <protection locked="0"/>
    </xf>
    <xf numFmtId="164" fontId="5" fillId="0" borderId="5" xfId="0" applyNumberFormat="1" applyFont="1" applyBorder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165" fontId="12" fillId="0" borderId="7" xfId="0" applyNumberFormat="1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23" xfId="0" applyFont="1" applyBorder="1" applyAlignment="1">
      <alignment horizontal="left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28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2" fillId="0" borderId="30" xfId="0" applyFont="1" applyBorder="1" applyAlignment="1">
      <alignment horizontal="left"/>
    </xf>
    <xf numFmtId="0" fontId="13" fillId="0" borderId="13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C000"/>
      </font>
      <fill>
        <patternFill patternType="none">
          <bgColor auto="1"/>
        </patternFill>
      </fill>
    </dxf>
    <dxf>
      <font>
        <b/>
        <i val="0"/>
        <strike val="0"/>
        <color rgb="FFFF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lavanwitb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77C72-050C-44E8-B0CD-948C9741EC66}">
  <dimension ref="A1:K109"/>
  <sheetViews>
    <sheetView tabSelected="1" zoomScale="150" zoomScaleNormal="150" workbookViewId="0">
      <selection sqref="A1:K1"/>
    </sheetView>
  </sheetViews>
  <sheetFormatPr defaultColWidth="8.7109375" defaultRowHeight="15" x14ac:dyDescent="0.25"/>
  <cols>
    <col min="1" max="1" width="5.28515625" customWidth="1"/>
    <col min="2" max="2" width="18.28515625" customWidth="1"/>
    <col min="3" max="3" width="24.28515625" customWidth="1"/>
    <col min="4" max="4" width="11.42578125" style="5" customWidth="1"/>
    <col min="5" max="5" width="3.5703125" style="5" customWidth="1"/>
    <col min="6" max="6" width="16.28515625" customWidth="1"/>
    <col min="7" max="7" width="9" customWidth="1"/>
    <col min="8" max="8" width="8.5703125" style="5" bestFit="1" customWidth="1"/>
    <col min="9" max="9" width="7.5703125" style="5" customWidth="1"/>
    <col min="10" max="10" width="8.42578125" style="5" customWidth="1"/>
    <col min="11" max="11" width="10.140625" customWidth="1"/>
  </cols>
  <sheetData>
    <row r="1" spans="1:11" ht="22.5" customHeight="1" x14ac:dyDescent="0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15.75" x14ac:dyDescent="0.3">
      <c r="A2" s="1" t="s">
        <v>1</v>
      </c>
      <c r="C2" s="86" t="s">
        <v>225</v>
      </c>
      <c r="D2" s="86"/>
      <c r="E2" s="86"/>
      <c r="F2" s="86"/>
      <c r="G2" s="86"/>
      <c r="H2" s="86"/>
      <c r="I2" s="86"/>
      <c r="J2" s="11"/>
      <c r="K2" s="12"/>
    </row>
    <row r="3" spans="1:11" ht="16.5" thickBot="1" x14ac:dyDescent="0.35">
      <c r="A3" s="1" t="s">
        <v>2</v>
      </c>
      <c r="C3" s="87" t="s">
        <v>226</v>
      </c>
      <c r="D3" s="87"/>
      <c r="E3" s="87"/>
      <c r="F3" s="1" t="s">
        <v>3</v>
      </c>
      <c r="G3" s="88"/>
      <c r="H3" s="89"/>
      <c r="I3" s="89"/>
      <c r="J3" s="11"/>
      <c r="K3" s="13"/>
    </row>
    <row r="4" spans="1:11" ht="17.25" thickBot="1" x14ac:dyDescent="0.4">
      <c r="A4" s="14" t="s">
        <v>4</v>
      </c>
      <c r="B4" s="15">
        <v>2082</v>
      </c>
      <c r="C4" s="16" t="s">
        <v>5</v>
      </c>
      <c r="D4" s="16" t="s">
        <v>227</v>
      </c>
      <c r="E4" s="90" t="s">
        <v>6</v>
      </c>
      <c r="F4" s="91"/>
      <c r="G4" s="91"/>
      <c r="H4" s="92" t="s">
        <v>178</v>
      </c>
      <c r="I4" s="93"/>
      <c r="J4" s="93"/>
      <c r="K4" s="17" t="s">
        <v>207</v>
      </c>
    </row>
    <row r="5" spans="1:11" ht="17.25" thickBot="1" x14ac:dyDescent="0.4">
      <c r="A5" s="18" t="s">
        <v>7</v>
      </c>
      <c r="B5" s="75" t="s">
        <v>8</v>
      </c>
      <c r="C5" s="75"/>
      <c r="D5" s="76" t="s">
        <v>9</v>
      </c>
      <c r="E5" s="76"/>
      <c r="F5" s="19" t="s">
        <v>10</v>
      </c>
      <c r="G5" s="20"/>
      <c r="H5" s="77" t="s">
        <v>179</v>
      </c>
      <c r="I5" s="78"/>
      <c r="J5" s="78"/>
      <c r="K5" s="15">
        <v>45440752.969999999</v>
      </c>
    </row>
    <row r="6" spans="1:11" ht="16.5" thickBot="1" x14ac:dyDescent="0.35">
      <c r="A6" s="21">
        <v>1</v>
      </c>
      <c r="B6" s="79" t="s">
        <v>205</v>
      </c>
      <c r="C6" s="80"/>
      <c r="D6" s="81">
        <v>9403884.0600000005</v>
      </c>
      <c r="E6" s="82"/>
      <c r="F6" s="8" t="s">
        <v>11</v>
      </c>
      <c r="G6" s="10"/>
      <c r="H6" s="83" t="s">
        <v>180</v>
      </c>
      <c r="I6" s="84"/>
      <c r="J6" s="84"/>
      <c r="K6" s="15">
        <v>37010629.469999999</v>
      </c>
    </row>
    <row r="7" spans="1:11" ht="16.5" thickBot="1" x14ac:dyDescent="0.35">
      <c r="A7" s="21">
        <v>2</v>
      </c>
      <c r="B7" s="79" t="s">
        <v>204</v>
      </c>
      <c r="C7" s="80"/>
      <c r="D7" s="81">
        <v>1977332</v>
      </c>
      <c r="E7" s="82"/>
      <c r="F7" s="8" t="s">
        <v>11</v>
      </c>
      <c r="G7" s="10"/>
      <c r="H7" s="83" t="s">
        <v>181</v>
      </c>
      <c r="I7" s="84"/>
      <c r="J7" s="84"/>
      <c r="K7" s="15" t="s">
        <v>228</v>
      </c>
    </row>
    <row r="8" spans="1:11" ht="16.5" thickBot="1" x14ac:dyDescent="0.35">
      <c r="A8" s="21">
        <v>3</v>
      </c>
      <c r="B8" s="79" t="s">
        <v>203</v>
      </c>
      <c r="C8" s="80"/>
      <c r="D8" s="81">
        <v>3420054</v>
      </c>
      <c r="E8" s="82"/>
      <c r="F8" s="8" t="s">
        <v>11</v>
      </c>
      <c r="G8" s="10"/>
      <c r="H8" s="83" t="s">
        <v>182</v>
      </c>
      <c r="I8" s="84"/>
      <c r="J8" s="84"/>
      <c r="K8" s="15">
        <v>1</v>
      </c>
    </row>
    <row r="9" spans="1:11" ht="16.5" thickBot="1" x14ac:dyDescent="0.35">
      <c r="A9" s="21">
        <v>4</v>
      </c>
      <c r="B9" s="79" t="s">
        <v>201</v>
      </c>
      <c r="C9" s="80"/>
      <c r="D9" s="81">
        <v>4313673</v>
      </c>
      <c r="E9" s="82"/>
      <c r="F9" s="8" t="s">
        <v>11</v>
      </c>
      <c r="G9" s="10"/>
      <c r="H9" s="83" t="s">
        <v>183</v>
      </c>
      <c r="I9" s="84"/>
      <c r="J9" s="84"/>
      <c r="K9" s="15">
        <v>8</v>
      </c>
    </row>
    <row r="10" spans="1:11" ht="16.5" thickBot="1" x14ac:dyDescent="0.35">
      <c r="A10" s="21">
        <v>5</v>
      </c>
      <c r="B10" s="79" t="s">
        <v>202</v>
      </c>
      <c r="C10" s="80"/>
      <c r="D10" s="81">
        <v>207029412</v>
      </c>
      <c r="E10" s="82"/>
      <c r="F10" s="8" t="s">
        <v>11</v>
      </c>
      <c r="G10" s="10"/>
      <c r="H10" s="83" t="s">
        <v>184</v>
      </c>
      <c r="I10" s="84"/>
      <c r="J10" s="84"/>
      <c r="K10" s="15">
        <v>0</v>
      </c>
    </row>
    <row r="11" spans="1:11" ht="16.5" thickBot="1" x14ac:dyDescent="0.35">
      <c r="A11" s="21">
        <v>6</v>
      </c>
      <c r="B11" s="79" t="s">
        <v>12</v>
      </c>
      <c r="C11" s="80"/>
      <c r="D11" s="94">
        <f>SUM(D7:E9)</f>
        <v>9711059</v>
      </c>
      <c r="E11" s="95"/>
      <c r="F11" s="30" t="s">
        <v>13</v>
      </c>
      <c r="G11" s="31"/>
      <c r="H11" s="83" t="s">
        <v>185</v>
      </c>
      <c r="I11" s="84"/>
      <c r="J11" s="84"/>
      <c r="K11" s="15">
        <f>K8+K9+K10</f>
        <v>9</v>
      </c>
    </row>
    <row r="12" spans="1:11" ht="16.5" thickBot="1" x14ac:dyDescent="0.35">
      <c r="A12" s="21">
        <v>7</v>
      </c>
      <c r="B12" s="79" t="s">
        <v>14</v>
      </c>
      <c r="C12" s="80"/>
      <c r="D12" s="81">
        <v>17135100</v>
      </c>
      <c r="E12" s="82"/>
      <c r="F12" s="8" t="s">
        <v>15</v>
      </c>
      <c r="G12" s="10"/>
      <c r="H12" s="83" t="s">
        <v>186</v>
      </c>
      <c r="I12" s="84"/>
      <c r="J12" s="84"/>
      <c r="K12" s="15">
        <v>0</v>
      </c>
    </row>
    <row r="13" spans="1:11" ht="16.5" thickBot="1" x14ac:dyDescent="0.35">
      <c r="A13" s="21">
        <v>8</v>
      </c>
      <c r="B13" s="79" t="s">
        <v>16</v>
      </c>
      <c r="C13" s="80"/>
      <c r="D13" s="81">
        <v>8380807.46</v>
      </c>
      <c r="E13" s="82"/>
      <c r="F13" s="8" t="s">
        <v>17</v>
      </c>
      <c r="G13" s="10"/>
      <c r="H13" s="83" t="s">
        <v>182</v>
      </c>
      <c r="I13" s="84"/>
      <c r="J13" s="84"/>
      <c r="K13" s="15">
        <v>1424</v>
      </c>
    </row>
    <row r="14" spans="1:11" ht="16.5" thickBot="1" x14ac:dyDescent="0.35">
      <c r="A14" s="21">
        <v>9</v>
      </c>
      <c r="B14" s="79" t="s">
        <v>206</v>
      </c>
      <c r="C14" s="80"/>
      <c r="D14" s="81">
        <v>1025265.09</v>
      </c>
      <c r="E14" s="82"/>
      <c r="F14" s="8" t="s">
        <v>18</v>
      </c>
      <c r="G14" s="10"/>
      <c r="H14" s="83" t="s">
        <v>183</v>
      </c>
      <c r="I14" s="84"/>
      <c r="J14" s="84"/>
      <c r="K14" s="15">
        <v>1442</v>
      </c>
    </row>
    <row r="15" spans="1:11" ht="16.5" thickBot="1" x14ac:dyDescent="0.35">
      <c r="A15" s="21">
        <v>10</v>
      </c>
      <c r="B15" s="79" t="s">
        <v>219</v>
      </c>
      <c r="C15" s="80"/>
      <c r="D15" s="81">
        <v>13609886.91</v>
      </c>
      <c r="E15" s="82"/>
      <c r="F15" s="8" t="s">
        <v>19</v>
      </c>
      <c r="G15" s="10"/>
      <c r="H15" s="83" t="s">
        <v>184</v>
      </c>
      <c r="I15" s="84"/>
      <c r="J15" s="84"/>
      <c r="K15" s="15">
        <v>0</v>
      </c>
    </row>
    <row r="16" spans="1:11" ht="16.5" thickBot="1" x14ac:dyDescent="0.35">
      <c r="A16" s="21">
        <v>11</v>
      </c>
      <c r="B16" s="79" t="s">
        <v>20</v>
      </c>
      <c r="C16" s="80"/>
      <c r="D16" s="81">
        <v>190655241.61000001</v>
      </c>
      <c r="E16" s="82"/>
      <c r="F16" s="8" t="s">
        <v>21</v>
      </c>
      <c r="G16" s="10"/>
      <c r="H16" s="83" t="s">
        <v>185</v>
      </c>
      <c r="I16" s="84"/>
      <c r="J16" s="84"/>
      <c r="K16" s="15">
        <f>K13+K14+K15</f>
        <v>2866</v>
      </c>
    </row>
    <row r="17" spans="1:11" ht="16.5" thickBot="1" x14ac:dyDescent="0.35">
      <c r="A17" s="21">
        <v>12</v>
      </c>
      <c r="B17" s="79" t="s">
        <v>22</v>
      </c>
      <c r="C17" s="80"/>
      <c r="D17" s="81">
        <v>1916657</v>
      </c>
      <c r="E17" s="82"/>
      <c r="F17" s="8" t="s">
        <v>23</v>
      </c>
      <c r="G17" s="10"/>
      <c r="H17" s="83" t="s">
        <v>187</v>
      </c>
      <c r="I17" s="84"/>
      <c r="J17" s="84"/>
      <c r="K17" s="15"/>
    </row>
    <row r="18" spans="1:11" ht="16.5" thickBot="1" x14ac:dyDescent="0.35">
      <c r="A18" s="21">
        <v>13</v>
      </c>
      <c r="B18" s="79" t="s">
        <v>24</v>
      </c>
      <c r="C18" s="80"/>
      <c r="D18" s="81">
        <v>19025786.789999999</v>
      </c>
      <c r="E18" s="82"/>
      <c r="F18" s="8" t="s">
        <v>25</v>
      </c>
      <c r="G18" s="10"/>
      <c r="H18" s="83" t="s">
        <v>182</v>
      </c>
      <c r="I18" s="84"/>
      <c r="J18" s="84"/>
      <c r="K18" s="15">
        <v>13</v>
      </c>
    </row>
    <row r="19" spans="1:11" ht="16.5" thickBot="1" x14ac:dyDescent="0.35">
      <c r="A19" s="21">
        <v>14</v>
      </c>
      <c r="B19" s="79" t="s">
        <v>26</v>
      </c>
      <c r="C19" s="80"/>
      <c r="D19" s="81">
        <v>758387</v>
      </c>
      <c r="E19" s="82"/>
      <c r="F19" s="8" t="s">
        <v>27</v>
      </c>
      <c r="G19" s="10"/>
      <c r="H19" s="83" t="s">
        <v>183</v>
      </c>
      <c r="I19" s="84"/>
      <c r="J19" s="84"/>
      <c r="K19" s="15">
        <v>15</v>
      </c>
    </row>
    <row r="20" spans="1:11" ht="16.5" thickBot="1" x14ac:dyDescent="0.35">
      <c r="A20" s="21">
        <v>15</v>
      </c>
      <c r="B20" s="79" t="s">
        <v>28</v>
      </c>
      <c r="C20" s="80"/>
      <c r="D20" s="81">
        <v>0</v>
      </c>
      <c r="E20" s="82"/>
      <c r="F20" s="8" t="s">
        <v>29</v>
      </c>
      <c r="G20" s="10"/>
      <c r="H20" s="83" t="s">
        <v>185</v>
      </c>
      <c r="I20" s="84"/>
      <c r="J20" s="84"/>
      <c r="K20" s="15">
        <f>K18+K19</f>
        <v>28</v>
      </c>
    </row>
    <row r="21" spans="1:11" ht="16.5" thickBot="1" x14ac:dyDescent="0.35">
      <c r="A21" s="21">
        <v>16</v>
      </c>
      <c r="B21" s="79" t="s">
        <v>220</v>
      </c>
      <c r="C21" s="80"/>
      <c r="D21" s="81">
        <v>39042558.380000003</v>
      </c>
      <c r="E21" s="82"/>
      <c r="F21" s="8" t="s">
        <v>221</v>
      </c>
      <c r="G21" s="10"/>
      <c r="H21" s="83" t="s">
        <v>188</v>
      </c>
      <c r="I21" s="84"/>
      <c r="J21" s="84"/>
      <c r="K21" s="15">
        <v>21590883</v>
      </c>
    </row>
    <row r="22" spans="1:11" ht="45.75" thickBot="1" x14ac:dyDescent="0.35">
      <c r="A22" s="21">
        <v>17</v>
      </c>
      <c r="B22" s="79" t="s">
        <v>30</v>
      </c>
      <c r="C22" s="80"/>
      <c r="D22" s="81">
        <v>310446</v>
      </c>
      <c r="E22" s="82"/>
      <c r="F22" s="8" t="s">
        <v>31</v>
      </c>
      <c r="G22" s="10"/>
      <c r="H22" s="83" t="s">
        <v>189</v>
      </c>
      <c r="I22" s="84"/>
      <c r="J22" s="84"/>
      <c r="K22" s="23" t="s">
        <v>229</v>
      </c>
    </row>
    <row r="23" spans="1:11" ht="16.5" thickBot="1" x14ac:dyDescent="0.35">
      <c r="A23" s="21">
        <v>18</v>
      </c>
      <c r="B23" s="79" t="s">
        <v>32</v>
      </c>
      <c r="C23" s="80"/>
      <c r="D23" s="81">
        <v>216740471</v>
      </c>
      <c r="E23" s="82"/>
      <c r="F23" s="8" t="s">
        <v>33</v>
      </c>
      <c r="G23" s="10"/>
      <c r="H23" s="83" t="s">
        <v>190</v>
      </c>
      <c r="I23" s="84"/>
      <c r="J23" s="84"/>
      <c r="K23" s="15"/>
    </row>
    <row r="24" spans="1:11" ht="16.5" thickBot="1" x14ac:dyDescent="0.35">
      <c r="A24" s="21">
        <v>19</v>
      </c>
      <c r="B24" s="79" t="s">
        <v>34</v>
      </c>
      <c r="C24" s="80"/>
      <c r="D24" s="81">
        <v>6466229.96</v>
      </c>
      <c r="E24" s="82"/>
      <c r="F24" s="8" t="s">
        <v>35</v>
      </c>
      <c r="G24" s="10"/>
      <c r="H24" s="83" t="s">
        <v>191</v>
      </c>
      <c r="I24" s="84"/>
      <c r="J24" s="84"/>
      <c r="K24" s="15"/>
    </row>
    <row r="25" spans="1:11" ht="16.5" thickBot="1" x14ac:dyDescent="0.35">
      <c r="A25" s="21">
        <v>20</v>
      </c>
      <c r="B25" s="79" t="s">
        <v>36</v>
      </c>
      <c r="C25" s="80"/>
      <c r="D25" s="81">
        <v>5167824.4400000004</v>
      </c>
      <c r="E25" s="82"/>
      <c r="F25" s="8" t="s">
        <v>37</v>
      </c>
      <c r="G25" s="10"/>
      <c r="H25" s="83" t="s">
        <v>192</v>
      </c>
      <c r="I25" s="84"/>
      <c r="J25" s="84"/>
      <c r="K25" s="15"/>
    </row>
    <row r="26" spans="1:11" ht="16.5" thickBot="1" x14ac:dyDescent="0.35">
      <c r="A26" s="21">
        <v>21</v>
      </c>
      <c r="B26" s="79" t="s">
        <v>38</v>
      </c>
      <c r="C26" s="80"/>
      <c r="D26" s="81">
        <v>565168</v>
      </c>
      <c r="E26" s="82"/>
      <c r="F26" s="8" t="s">
        <v>39</v>
      </c>
      <c r="G26" s="10"/>
      <c r="H26" s="83" t="s">
        <v>193</v>
      </c>
      <c r="I26" s="84"/>
      <c r="J26" s="84"/>
      <c r="K26" s="15">
        <v>1731086.33</v>
      </c>
    </row>
    <row r="27" spans="1:11" ht="16.5" thickBot="1" x14ac:dyDescent="0.35">
      <c r="A27" s="21">
        <v>22</v>
      </c>
      <c r="B27" s="79" t="s">
        <v>40</v>
      </c>
      <c r="C27" s="80"/>
      <c r="D27" s="81">
        <v>0</v>
      </c>
      <c r="E27" s="82"/>
      <c r="F27" s="8" t="s">
        <v>41</v>
      </c>
      <c r="G27" s="10"/>
      <c r="H27" s="83" t="s">
        <v>194</v>
      </c>
      <c r="I27" s="84"/>
      <c r="J27" s="84"/>
      <c r="K27" s="15">
        <v>858520.28</v>
      </c>
    </row>
    <row r="28" spans="1:11" ht="16.5" thickBot="1" x14ac:dyDescent="0.35">
      <c r="A28" s="21">
        <v>23</v>
      </c>
      <c r="B28" s="79" t="s">
        <v>42</v>
      </c>
      <c r="C28" s="80"/>
      <c r="D28" s="81">
        <v>269701585.67000002</v>
      </c>
      <c r="E28" s="82"/>
      <c r="F28" s="8" t="s">
        <v>43</v>
      </c>
      <c r="G28" s="10"/>
      <c r="H28" s="83" t="s">
        <v>195</v>
      </c>
      <c r="I28" s="84"/>
      <c r="J28" s="84"/>
      <c r="K28" s="15">
        <v>188728.34</v>
      </c>
    </row>
    <row r="29" spans="1:11" ht="16.5" thickBot="1" x14ac:dyDescent="0.35">
      <c r="A29" s="21">
        <v>24</v>
      </c>
      <c r="B29" s="79" t="s">
        <v>44</v>
      </c>
      <c r="C29" s="80"/>
      <c r="D29" s="81">
        <v>234171105.63</v>
      </c>
      <c r="E29" s="82"/>
      <c r="F29" s="8" t="s">
        <v>45</v>
      </c>
      <c r="G29" s="10"/>
      <c r="H29" s="83" t="s">
        <v>224</v>
      </c>
      <c r="I29" s="84"/>
      <c r="J29" s="84"/>
      <c r="K29" s="15">
        <v>73177</v>
      </c>
    </row>
    <row r="30" spans="1:11" ht="16.5" thickBot="1" x14ac:dyDescent="0.35">
      <c r="A30" s="21">
        <v>25</v>
      </c>
      <c r="B30" s="79" t="s">
        <v>46</v>
      </c>
      <c r="C30" s="80"/>
      <c r="D30" s="81">
        <v>14367700</v>
      </c>
      <c r="E30" s="82"/>
      <c r="F30" s="8" t="s">
        <v>45</v>
      </c>
      <c r="G30" s="10"/>
      <c r="H30" s="83" t="s">
        <v>223</v>
      </c>
      <c r="I30" s="84"/>
      <c r="J30" s="84"/>
      <c r="K30" s="15">
        <v>41662.5</v>
      </c>
    </row>
    <row r="31" spans="1:11" ht="16.5" thickBot="1" x14ac:dyDescent="0.35">
      <c r="A31" s="21">
        <v>26</v>
      </c>
      <c r="B31" s="79" t="s">
        <v>47</v>
      </c>
      <c r="C31" s="80"/>
      <c r="D31" s="81">
        <v>172221272.37</v>
      </c>
      <c r="E31" s="82"/>
      <c r="F31" s="8" t="s">
        <v>45</v>
      </c>
      <c r="G31" s="10"/>
      <c r="H31" s="83" t="s">
        <v>196</v>
      </c>
      <c r="I31" s="84"/>
      <c r="J31" s="84"/>
      <c r="K31" s="15">
        <v>450</v>
      </c>
    </row>
    <row r="32" spans="1:11" ht="16.5" thickBot="1" x14ac:dyDescent="0.35">
      <c r="A32" s="21">
        <v>27</v>
      </c>
      <c r="B32" s="79" t="s">
        <v>48</v>
      </c>
      <c r="C32" s="80"/>
      <c r="D32" s="81">
        <v>187973096.36000001</v>
      </c>
      <c r="E32" s="82"/>
      <c r="F32" s="8" t="s">
        <v>45</v>
      </c>
      <c r="G32" s="10"/>
      <c r="H32" s="83" t="s">
        <v>197</v>
      </c>
      <c r="I32" s="84"/>
      <c r="J32" s="84"/>
      <c r="K32" s="15">
        <v>0</v>
      </c>
    </row>
    <row r="33" spans="1:11" ht="16.5" thickBot="1" x14ac:dyDescent="0.35">
      <c r="A33" s="21">
        <v>28</v>
      </c>
      <c r="B33" s="79" t="s">
        <v>49</v>
      </c>
      <c r="C33" s="80"/>
      <c r="D33" s="81">
        <v>36896572.700000003</v>
      </c>
      <c r="E33" s="82"/>
      <c r="F33" s="8" t="s">
        <v>50</v>
      </c>
      <c r="G33" s="10"/>
      <c r="H33" s="83" t="s">
        <v>198</v>
      </c>
      <c r="I33" s="84"/>
      <c r="J33" s="84"/>
      <c r="K33" s="15">
        <v>0</v>
      </c>
    </row>
    <row r="34" spans="1:11" ht="16.5" thickBot="1" x14ac:dyDescent="0.35">
      <c r="A34" s="21">
        <v>29</v>
      </c>
      <c r="B34" s="79" t="s">
        <v>51</v>
      </c>
      <c r="C34" s="80"/>
      <c r="D34" s="81">
        <v>14532609.439999999</v>
      </c>
      <c r="E34" s="82"/>
      <c r="F34" s="8" t="s">
        <v>50</v>
      </c>
      <c r="G34" s="10"/>
      <c r="H34" s="83" t="s">
        <v>199</v>
      </c>
      <c r="I34" s="84"/>
      <c r="J34" s="84"/>
      <c r="K34" s="15">
        <v>0</v>
      </c>
    </row>
    <row r="35" spans="1:11" ht="16.5" thickBot="1" x14ac:dyDescent="0.35">
      <c r="A35" s="21">
        <v>30</v>
      </c>
      <c r="B35" s="79" t="s">
        <v>52</v>
      </c>
      <c r="C35" s="80"/>
      <c r="D35" s="81">
        <v>19225392.649999999</v>
      </c>
      <c r="E35" s="82"/>
      <c r="F35" s="8" t="s">
        <v>50</v>
      </c>
      <c r="G35" s="10"/>
      <c r="H35" s="83" t="s">
        <v>222</v>
      </c>
      <c r="I35" s="84"/>
      <c r="J35" s="84"/>
      <c r="K35" s="15">
        <v>0</v>
      </c>
    </row>
    <row r="36" spans="1:11" ht="16.5" thickBot="1" x14ac:dyDescent="0.35">
      <c r="A36" s="21">
        <v>31</v>
      </c>
      <c r="B36" s="79" t="s">
        <v>53</v>
      </c>
      <c r="C36" s="80"/>
      <c r="D36" s="81">
        <v>6692835.4100000001</v>
      </c>
      <c r="E36" s="82"/>
      <c r="F36" s="8" t="s">
        <v>50</v>
      </c>
      <c r="G36" s="10"/>
      <c r="H36" s="83" t="s">
        <v>200</v>
      </c>
      <c r="I36" s="84"/>
      <c r="J36" s="84"/>
      <c r="K36" s="15">
        <v>43715</v>
      </c>
    </row>
    <row r="37" spans="1:11" ht="16.5" thickBot="1" x14ac:dyDescent="0.35">
      <c r="A37" s="21">
        <v>32</v>
      </c>
      <c r="B37" s="79" t="s">
        <v>54</v>
      </c>
      <c r="C37" s="80"/>
      <c r="D37" s="102">
        <v>2866</v>
      </c>
      <c r="E37" s="103"/>
      <c r="F37" s="8" t="s">
        <v>55</v>
      </c>
      <c r="G37" s="10"/>
      <c r="H37" s="96" t="s">
        <v>185</v>
      </c>
      <c r="I37" s="97"/>
      <c r="J37" s="97"/>
      <c r="K37" s="15">
        <f>K26+K27+K28+K29+K30+K31+K36</f>
        <v>2937339.45</v>
      </c>
    </row>
    <row r="38" spans="1:11" ht="16.5" thickBot="1" x14ac:dyDescent="0.35">
      <c r="A38" s="21">
        <v>33</v>
      </c>
      <c r="B38" s="79" t="s">
        <v>56</v>
      </c>
      <c r="C38" s="80"/>
      <c r="D38" s="81">
        <v>2777</v>
      </c>
      <c r="E38" s="82"/>
      <c r="F38" s="8" t="s">
        <v>55</v>
      </c>
      <c r="G38" s="8"/>
      <c r="H38" s="11"/>
      <c r="I38" s="11"/>
      <c r="J38" s="11"/>
      <c r="K38" s="12"/>
    </row>
    <row r="39" spans="1:11" s="6" customFormat="1" ht="31.15" customHeight="1" thickBot="1" x14ac:dyDescent="0.3">
      <c r="A39" s="24">
        <v>34</v>
      </c>
      <c r="B39" s="98" t="s">
        <v>57</v>
      </c>
      <c r="C39" s="99"/>
      <c r="D39" s="100">
        <f>4925397.03+2126908+2815046+104326043.18</f>
        <v>114193394.21000001</v>
      </c>
      <c r="E39" s="101"/>
      <c r="F39" s="9" t="s">
        <v>58</v>
      </c>
      <c r="G39" s="9"/>
      <c r="H39" s="25"/>
      <c r="I39" s="25"/>
      <c r="J39" s="25"/>
      <c r="K39" s="26"/>
    </row>
    <row r="40" spans="1:11" ht="16.5" thickBot="1" x14ac:dyDescent="0.35">
      <c r="A40" s="21">
        <v>35</v>
      </c>
      <c r="B40" s="79" t="s">
        <v>59</v>
      </c>
      <c r="C40" s="80"/>
      <c r="D40" s="94">
        <f>D12+D13+D14</f>
        <v>26541172.550000001</v>
      </c>
      <c r="E40" s="95"/>
      <c r="F40" s="30" t="s">
        <v>13</v>
      </c>
      <c r="G40" s="30"/>
      <c r="H40" s="11"/>
      <c r="I40" s="11"/>
      <c r="J40" s="11"/>
      <c r="K40" s="12"/>
    </row>
    <row r="41" spans="1:11" ht="16.5" thickBot="1" x14ac:dyDescent="0.35">
      <c r="A41" s="21">
        <v>36</v>
      </c>
      <c r="B41" s="79" t="s">
        <v>60</v>
      </c>
      <c r="C41" s="80"/>
      <c r="D41" s="94">
        <f>D40+D16+D17+D18</f>
        <v>238138857.95000002</v>
      </c>
      <c r="E41" s="95"/>
      <c r="F41" s="30" t="s">
        <v>13</v>
      </c>
      <c r="G41" s="30"/>
      <c r="H41" s="11"/>
      <c r="I41" s="11"/>
      <c r="J41" s="11"/>
      <c r="K41" s="12"/>
    </row>
    <row r="42" spans="1:11" ht="16.5" thickBot="1" x14ac:dyDescent="0.35">
      <c r="A42" s="21">
        <v>37</v>
      </c>
      <c r="B42" s="22" t="s">
        <v>61</v>
      </c>
      <c r="C42" s="21"/>
      <c r="D42" s="94">
        <f>IF(D16*35%&gt;=D40,(D16*35%)-D40,"0")</f>
        <v>40188162.013500005</v>
      </c>
      <c r="E42" s="95"/>
      <c r="F42" s="30" t="s">
        <v>13</v>
      </c>
      <c r="G42" s="30"/>
      <c r="H42" s="11"/>
      <c r="I42" s="11"/>
      <c r="J42" s="11"/>
      <c r="K42" s="12"/>
    </row>
    <row r="43" spans="1:11" ht="16.5" thickBot="1" x14ac:dyDescent="0.35">
      <c r="A43" s="21">
        <v>38</v>
      </c>
      <c r="B43" s="79" t="s">
        <v>62</v>
      </c>
      <c r="C43" s="80"/>
      <c r="D43" s="81">
        <v>1338</v>
      </c>
      <c r="E43" s="82"/>
      <c r="F43" s="8" t="s">
        <v>63</v>
      </c>
      <c r="G43" s="8"/>
      <c r="H43" s="11"/>
      <c r="I43" s="11"/>
      <c r="J43" s="11"/>
      <c r="K43" s="12"/>
    </row>
    <row r="44" spans="1:11" ht="16.5" thickBot="1" x14ac:dyDescent="0.35">
      <c r="A44" s="21">
        <v>39</v>
      </c>
      <c r="B44" s="79" t="s">
        <v>64</v>
      </c>
      <c r="C44" s="80"/>
      <c r="D44" s="81">
        <v>1560</v>
      </c>
      <c r="E44" s="82"/>
      <c r="F44" s="7" t="s">
        <v>65</v>
      </c>
      <c r="G44" s="7"/>
      <c r="H44" s="11"/>
      <c r="I44" s="11"/>
      <c r="J44" s="11"/>
      <c r="K44" s="12"/>
    </row>
    <row r="45" spans="1:11" ht="24.75" thickBot="1" x14ac:dyDescent="0.35">
      <c r="A45" s="21">
        <v>40</v>
      </c>
      <c r="B45" s="79" t="s">
        <v>66</v>
      </c>
      <c r="C45" s="80"/>
      <c r="D45" s="81">
        <v>0</v>
      </c>
      <c r="E45" s="82"/>
      <c r="F45" s="7" t="s">
        <v>67</v>
      </c>
      <c r="G45" s="7"/>
      <c r="H45" s="11"/>
      <c r="I45" s="11"/>
      <c r="J45" s="11"/>
      <c r="K45" s="12"/>
    </row>
    <row r="46" spans="1:11" ht="16.5" thickBot="1" x14ac:dyDescent="0.35">
      <c r="A46" s="21">
        <v>41</v>
      </c>
      <c r="B46" s="79" t="s">
        <v>68</v>
      </c>
      <c r="C46" s="80"/>
      <c r="D46" s="81">
        <v>0</v>
      </c>
      <c r="E46" s="82"/>
      <c r="F46" s="7" t="s">
        <v>69</v>
      </c>
      <c r="G46" s="7"/>
      <c r="H46" s="11"/>
      <c r="I46" s="11"/>
      <c r="J46" s="11"/>
      <c r="K46" s="12"/>
    </row>
    <row r="47" spans="1:11" ht="31.9" customHeight="1" thickBot="1" x14ac:dyDescent="0.3">
      <c r="A47" s="24">
        <v>42</v>
      </c>
      <c r="B47" s="98" t="s">
        <v>70</v>
      </c>
      <c r="C47" s="99"/>
      <c r="D47" s="104">
        <v>0</v>
      </c>
      <c r="E47" s="105"/>
      <c r="F47" s="9" t="s">
        <v>71</v>
      </c>
      <c r="G47" s="9"/>
      <c r="H47" s="11"/>
      <c r="I47" s="11"/>
      <c r="J47" s="11"/>
      <c r="K47" s="12"/>
    </row>
    <row r="48" spans="1:11" ht="16.5" thickBot="1" x14ac:dyDescent="0.35">
      <c r="A48" s="21">
        <v>43</v>
      </c>
      <c r="B48" s="79" t="s">
        <v>72</v>
      </c>
      <c r="C48" s="80"/>
      <c r="D48" s="81">
        <v>0</v>
      </c>
      <c r="E48" s="82"/>
      <c r="F48" s="8" t="s">
        <v>73</v>
      </c>
      <c r="G48" s="8"/>
      <c r="H48" s="11"/>
      <c r="I48" s="11"/>
      <c r="J48" s="11"/>
      <c r="K48" s="12"/>
    </row>
    <row r="49" spans="1:11" ht="24.75" thickBot="1" x14ac:dyDescent="0.35">
      <c r="A49" s="21">
        <v>44</v>
      </c>
      <c r="B49" s="79" t="s">
        <v>74</v>
      </c>
      <c r="C49" s="80"/>
      <c r="D49" s="81">
        <v>0</v>
      </c>
      <c r="E49" s="82"/>
      <c r="F49" s="7" t="s">
        <v>75</v>
      </c>
      <c r="G49" s="7"/>
      <c r="H49" s="11"/>
      <c r="I49" s="11"/>
      <c r="J49" s="11"/>
      <c r="K49" s="12"/>
    </row>
    <row r="50" spans="1:11" ht="16.5" thickBot="1" x14ac:dyDescent="0.35">
      <c r="A50" s="21">
        <v>45</v>
      </c>
      <c r="B50" s="79" t="s">
        <v>76</v>
      </c>
      <c r="C50" s="80"/>
      <c r="D50" s="81">
        <v>0</v>
      </c>
      <c r="E50" s="82"/>
      <c r="F50" s="8" t="s">
        <v>73</v>
      </c>
      <c r="G50" s="8"/>
      <c r="H50" s="11"/>
      <c r="I50" s="11"/>
      <c r="J50" s="11"/>
      <c r="K50" s="12"/>
    </row>
    <row r="51" spans="1:11" x14ac:dyDescent="0.25">
      <c r="A51" s="27" t="s">
        <v>77</v>
      </c>
      <c r="D51" s="11"/>
      <c r="E51" s="11"/>
      <c r="F51" s="12"/>
      <c r="G51" s="12"/>
      <c r="H51" s="11"/>
      <c r="I51" s="11"/>
      <c r="J51" s="11"/>
      <c r="K51" s="12"/>
    </row>
    <row r="55" spans="1:11" s="1" customFormat="1" ht="21" x14ac:dyDescent="0.3">
      <c r="A55" s="116" t="s">
        <v>78</v>
      </c>
      <c r="B55" s="116"/>
      <c r="C55" s="116"/>
      <c r="D55" s="116"/>
      <c r="E55" s="116"/>
      <c r="F55" s="116"/>
      <c r="G55" s="116"/>
      <c r="H55" s="116"/>
      <c r="I55" s="116"/>
      <c r="J55" s="116"/>
      <c r="K55" s="116"/>
    </row>
    <row r="56" spans="1:11" s="1" customFormat="1" ht="23.25" x14ac:dyDescent="0.3">
      <c r="A56" s="117" t="s">
        <v>79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</row>
    <row r="57" spans="1:11" s="1" customFormat="1" ht="16.5" x14ac:dyDescent="0.3">
      <c r="A57" s="118" t="s">
        <v>80</v>
      </c>
      <c r="B57" s="118"/>
      <c r="C57" s="118"/>
      <c r="D57" s="118"/>
      <c r="E57" s="118"/>
      <c r="F57" s="118"/>
      <c r="G57" s="118"/>
      <c r="H57" s="118"/>
      <c r="I57" s="118"/>
      <c r="J57" s="118"/>
      <c r="K57" s="118"/>
    </row>
    <row r="58" spans="1:11" s="1" customFormat="1" ht="19.5" x14ac:dyDescent="0.3">
      <c r="A58" s="2"/>
      <c r="B58" s="2"/>
      <c r="C58" s="3">
        <f>B4</f>
        <v>2082</v>
      </c>
      <c r="D58" s="4" t="s">
        <v>81</v>
      </c>
      <c r="E58" s="4" t="str">
        <f>D4</f>
        <v>भाद्र</v>
      </c>
      <c r="F58" s="2" t="s">
        <v>82</v>
      </c>
      <c r="G58" s="2"/>
      <c r="H58" s="2"/>
      <c r="I58" s="2"/>
      <c r="J58" s="2"/>
      <c r="K58" s="2"/>
    </row>
    <row r="59" spans="1:11" s="1" customFormat="1" ht="15.75" x14ac:dyDescent="0.3">
      <c r="A59" s="28"/>
      <c r="B59" s="28"/>
      <c r="C59" s="119" t="s">
        <v>83</v>
      </c>
      <c r="D59" s="119"/>
      <c r="E59" s="119"/>
      <c r="F59" s="119"/>
      <c r="G59" s="119"/>
      <c r="H59" s="119"/>
      <c r="I59" s="32"/>
      <c r="J59" s="32"/>
      <c r="K59" s="28"/>
    </row>
    <row r="60" spans="1:11" s="1" customFormat="1" ht="15.75" x14ac:dyDescent="0.3">
      <c r="A60" s="28" t="s">
        <v>84</v>
      </c>
      <c r="B60" s="28"/>
      <c r="C60" s="106" t="str">
        <f>C2</f>
        <v>लाभान्वित बचत तथा ऋण सहकारी संस्था लि.</v>
      </c>
      <c r="D60" s="106"/>
      <c r="E60" s="106"/>
      <c r="F60" s="28" t="s">
        <v>85</v>
      </c>
      <c r="G60" s="107">
        <f>G3</f>
        <v>0</v>
      </c>
      <c r="H60" s="107"/>
      <c r="I60" s="107"/>
      <c r="J60" s="32"/>
      <c r="K60" s="28"/>
    </row>
    <row r="61" spans="1:11" s="1" customFormat="1" ht="15.75" x14ac:dyDescent="0.3">
      <c r="A61" s="28"/>
      <c r="B61" s="28"/>
      <c r="C61" s="33" t="s">
        <v>86</v>
      </c>
      <c r="D61" s="108" t="str">
        <f>C3</f>
        <v>विराटनगर-१६, मोरङ</v>
      </c>
      <c r="E61" s="108"/>
      <c r="F61" s="34"/>
      <c r="G61" s="34" t="s">
        <v>87</v>
      </c>
      <c r="H61" s="32"/>
      <c r="I61" s="28"/>
      <c r="J61" s="32"/>
      <c r="K61" s="28"/>
    </row>
    <row r="62" spans="1:11" s="1" customFormat="1" ht="16.5" thickBot="1" x14ac:dyDescent="0.35">
      <c r="A62" s="35" t="s">
        <v>88</v>
      </c>
      <c r="B62" s="28"/>
      <c r="C62" s="36" t="s">
        <v>208</v>
      </c>
      <c r="D62" s="28"/>
      <c r="E62" s="37"/>
      <c r="F62" s="37" t="s">
        <v>209</v>
      </c>
      <c r="G62" s="28"/>
      <c r="H62" s="32"/>
      <c r="I62" s="28" t="s">
        <v>89</v>
      </c>
      <c r="J62" s="32"/>
      <c r="K62" s="28"/>
    </row>
    <row r="63" spans="1:11" ht="14.65" customHeight="1" thickBot="1" x14ac:dyDescent="0.3">
      <c r="A63" s="109" t="s">
        <v>90</v>
      </c>
      <c r="B63" s="109" t="s">
        <v>91</v>
      </c>
      <c r="C63" s="109" t="s">
        <v>92</v>
      </c>
      <c r="D63" s="112" t="s">
        <v>93</v>
      </c>
      <c r="E63" s="113"/>
      <c r="F63" s="39" t="s">
        <v>94</v>
      </c>
      <c r="G63" s="40"/>
      <c r="H63" s="114" t="s">
        <v>95</v>
      </c>
      <c r="I63" s="115"/>
      <c r="J63" s="109" t="s">
        <v>96</v>
      </c>
      <c r="K63" s="109" t="s">
        <v>97</v>
      </c>
    </row>
    <row r="64" spans="1:11" ht="24" x14ac:dyDescent="0.25">
      <c r="A64" s="110"/>
      <c r="B64" s="110"/>
      <c r="C64" s="110"/>
      <c r="D64" s="120" t="s">
        <v>98</v>
      </c>
      <c r="E64" s="42" t="s">
        <v>99</v>
      </c>
      <c r="F64" s="38" t="s">
        <v>100</v>
      </c>
      <c r="G64" s="38" t="s">
        <v>101</v>
      </c>
      <c r="H64" s="38" t="s">
        <v>100</v>
      </c>
      <c r="I64" s="38" t="s">
        <v>101</v>
      </c>
      <c r="J64" s="110"/>
      <c r="K64" s="110"/>
    </row>
    <row r="65" spans="1:11" ht="15.75" thickBot="1" x14ac:dyDescent="0.3">
      <c r="A65" s="111"/>
      <c r="B65" s="111"/>
      <c r="C65" s="111"/>
      <c r="D65" s="121"/>
      <c r="E65" s="44" t="s">
        <v>102</v>
      </c>
      <c r="F65" s="44" t="s">
        <v>102</v>
      </c>
      <c r="G65" s="44" t="s">
        <v>102</v>
      </c>
      <c r="H65" s="44" t="s">
        <v>103</v>
      </c>
      <c r="I65" s="44" t="s">
        <v>103</v>
      </c>
      <c r="J65" s="111"/>
      <c r="K65" s="111"/>
    </row>
    <row r="66" spans="1:11" ht="15.6" customHeight="1" thickBot="1" x14ac:dyDescent="0.3">
      <c r="A66" s="122">
        <v>1</v>
      </c>
      <c r="B66" s="120" t="s">
        <v>104</v>
      </c>
      <c r="C66" s="38" t="s">
        <v>105</v>
      </c>
      <c r="D66" s="46">
        <f>D6</f>
        <v>9403884.0600000005</v>
      </c>
      <c r="E66" s="122">
        <f>IF(D67&lt;D66,100,D66/D67*100)</f>
        <v>100</v>
      </c>
      <c r="F66" s="45">
        <v>100</v>
      </c>
      <c r="G66" s="38" t="s">
        <v>106</v>
      </c>
      <c r="H66" s="123" t="str">
        <f>IF(E66&gt;=100,"Y","X")</f>
        <v>Y</v>
      </c>
      <c r="I66" s="123" t="str">
        <f>IF(AND(E66&lt;100,E66&gt;=90),"Y","X")</f>
        <v>X</v>
      </c>
      <c r="J66" s="123" t="str">
        <f>IF(AND(H66="Y",I66="X"),"Y",IF(AND(H66="X",I66="Y"),"YY","X"))</f>
        <v>Y</v>
      </c>
      <c r="K66" s="125"/>
    </row>
    <row r="67" spans="1:11" ht="32.450000000000003" customHeight="1" thickBot="1" x14ac:dyDescent="0.3">
      <c r="A67" s="111"/>
      <c r="B67" s="121"/>
      <c r="C67" s="47" t="s">
        <v>107</v>
      </c>
      <c r="D67" s="48">
        <f>D7</f>
        <v>1977332</v>
      </c>
      <c r="E67" s="110"/>
      <c r="F67" s="41"/>
      <c r="G67" s="41"/>
      <c r="H67" s="124"/>
      <c r="I67" s="124"/>
      <c r="J67" s="124"/>
      <c r="K67" s="126"/>
    </row>
    <row r="68" spans="1:11" ht="24.75" thickBot="1" x14ac:dyDescent="0.3">
      <c r="A68" s="122">
        <v>2</v>
      </c>
      <c r="B68" s="120" t="s">
        <v>108</v>
      </c>
      <c r="C68" s="38" t="s">
        <v>211</v>
      </c>
      <c r="D68" s="46">
        <f>IF(D66&lt;=0,0,D66-D67)</f>
        <v>7426552.0600000005</v>
      </c>
      <c r="E68" s="128">
        <f>IF(D68&lt;=0,0,IF((D69*50%)&lt;D68,50,D68/(D69*50%)*50))</f>
        <v>50</v>
      </c>
      <c r="F68" s="45">
        <v>50</v>
      </c>
      <c r="G68" s="38" t="s">
        <v>153</v>
      </c>
      <c r="H68" s="123" t="str">
        <f>IF(E68&gt;=35,"Y","X")</f>
        <v>Y</v>
      </c>
      <c r="I68" s="123" t="str">
        <f>IF(AND(E68&lt;50,E68&gt;=45),"Y","X")</f>
        <v>X</v>
      </c>
      <c r="J68" s="123" t="str">
        <f>IF(AND(H68="Y",I68="X"),"Y",IF(AND(H68="X",I68="Y"),"YY","X"))</f>
        <v>Y</v>
      </c>
      <c r="K68" s="125"/>
    </row>
    <row r="69" spans="1:11" ht="15.75" thickBot="1" x14ac:dyDescent="0.3">
      <c r="A69" s="111"/>
      <c r="B69" s="121"/>
      <c r="C69" s="47" t="s">
        <v>212</v>
      </c>
      <c r="D69" s="48">
        <f>D8</f>
        <v>3420054</v>
      </c>
      <c r="E69" s="129"/>
      <c r="F69" s="43"/>
      <c r="G69" s="43"/>
      <c r="H69" s="124"/>
      <c r="I69" s="124"/>
      <c r="J69" s="124"/>
      <c r="K69" s="127"/>
    </row>
    <row r="70" spans="1:11" ht="24.75" thickBot="1" x14ac:dyDescent="0.3">
      <c r="A70" s="122">
        <v>3</v>
      </c>
      <c r="B70" s="120" t="s">
        <v>210</v>
      </c>
      <c r="C70" s="38" t="s">
        <v>213</v>
      </c>
      <c r="D70" s="46">
        <f>IF(D68&lt;=0,0,D68-D69*50%)</f>
        <v>5716525.0600000005</v>
      </c>
      <c r="E70" s="128">
        <f>IF(D70&lt;=0,0,IF((D71*25%)&lt;D70,25,D70/(D71*25%)*25))</f>
        <v>25</v>
      </c>
      <c r="F70" s="50">
        <v>25</v>
      </c>
      <c r="G70" s="51" t="s">
        <v>217</v>
      </c>
      <c r="H70" s="123" t="str">
        <f>IF(E70&gt;=25,"Y","X")</f>
        <v>Y</v>
      </c>
      <c r="I70" s="123" t="str">
        <f>IF(AND(E70&lt;25,E70&gt;=20),"Y","X")</f>
        <v>X</v>
      </c>
      <c r="J70" s="123" t="str">
        <f>IF(AND(H70="Y",I70="X"),"Y",IF(AND(H70="X",I70="Y"),"YY","X"))</f>
        <v>Y</v>
      </c>
      <c r="K70" s="49"/>
    </row>
    <row r="71" spans="1:11" ht="15.75" thickBot="1" x14ac:dyDescent="0.3">
      <c r="A71" s="111"/>
      <c r="B71" s="121"/>
      <c r="C71" s="47" t="s">
        <v>214</v>
      </c>
      <c r="D71" s="48">
        <f>D9</f>
        <v>4313673</v>
      </c>
      <c r="E71" s="129"/>
      <c r="F71" s="43"/>
      <c r="G71" s="43"/>
      <c r="H71" s="124"/>
      <c r="I71" s="124"/>
      <c r="J71" s="124"/>
      <c r="K71" s="49"/>
    </row>
    <row r="72" spans="1:11" ht="15.75" thickBot="1" x14ac:dyDescent="0.3">
      <c r="A72" s="122">
        <v>4</v>
      </c>
      <c r="B72" s="130" t="s">
        <v>109</v>
      </c>
      <c r="C72" s="44" t="s">
        <v>215</v>
      </c>
      <c r="D72" s="46">
        <f>IF(D70&lt;=0,0,D70-D71*25%)</f>
        <v>4638106.8100000005</v>
      </c>
      <c r="E72" s="128">
        <f>IF(D72&lt;=0,0,IF((D73*1%)&lt;D72,1,D72/(D73*1%)*1))</f>
        <v>1</v>
      </c>
      <c r="F72" s="45">
        <v>1</v>
      </c>
      <c r="G72" s="45" t="s">
        <v>218</v>
      </c>
      <c r="H72" s="123" t="str">
        <f>IF(E72&gt;=1,"Y","X")</f>
        <v>Y</v>
      </c>
      <c r="I72" s="123" t="str">
        <f>IF(AND(E72&gt;0.75,E72&lt;1),"Y","X")</f>
        <v>X</v>
      </c>
      <c r="J72" s="123" t="str">
        <f t="shared" ref="J72" si="0">IF(AND(H72="Y",I72="X"),"Y",IF(AND(H72="X",I72="Y"),"YY","X"))</f>
        <v>Y</v>
      </c>
      <c r="K72" s="125"/>
    </row>
    <row r="73" spans="1:11" ht="15.75" thickBot="1" x14ac:dyDescent="0.3">
      <c r="A73" s="111"/>
      <c r="B73" s="131"/>
      <c r="C73" s="44" t="s">
        <v>216</v>
      </c>
      <c r="D73" s="48">
        <f>D10</f>
        <v>207029412</v>
      </c>
      <c r="E73" s="129"/>
      <c r="F73" s="43"/>
      <c r="G73" s="43"/>
      <c r="H73" s="124"/>
      <c r="I73" s="124"/>
      <c r="J73" s="124"/>
      <c r="K73" s="127"/>
    </row>
    <row r="74" spans="1:11" ht="24.75" thickBot="1" x14ac:dyDescent="0.3">
      <c r="A74" s="122">
        <v>5</v>
      </c>
      <c r="B74" s="130" t="s">
        <v>110</v>
      </c>
      <c r="C74" s="38" t="s">
        <v>111</v>
      </c>
      <c r="D74" s="48">
        <f>D23-(D7+(D8*35%)+(D10*1%)-D6)</f>
        <v>220899710.03999999</v>
      </c>
      <c r="E74" s="128">
        <f t="shared" ref="E74:E76" si="1">D74/D75*100</f>
        <v>81.905232218503627</v>
      </c>
      <c r="F74" s="38" t="s">
        <v>112</v>
      </c>
      <c r="G74" s="38" t="s">
        <v>113</v>
      </c>
      <c r="H74" s="123" t="str">
        <f>IF(AND(E74&gt;=70,E74&lt;=80),"Y","X")</f>
        <v>X</v>
      </c>
      <c r="I74" s="123" t="str">
        <f>IF(AND(E74&gt;=60,E74&lt;70),"Y",IF(AND(E74&gt;80,E74&lt;=90),"Y","X"))</f>
        <v>Y</v>
      </c>
      <c r="J74" s="123" t="str">
        <f t="shared" ref="J74" si="2">IF(AND(H74="Y",I74="X"),"Y",IF(AND(H74="X",I74="Y"),"YY","X"))</f>
        <v>YY</v>
      </c>
      <c r="K74" s="125"/>
    </row>
    <row r="75" spans="1:11" ht="15.75" thickBot="1" x14ac:dyDescent="0.3">
      <c r="A75" s="111"/>
      <c r="B75" s="131"/>
      <c r="C75" s="47" t="s">
        <v>114</v>
      </c>
      <c r="D75" s="52">
        <f>D28</f>
        <v>269701585.67000002</v>
      </c>
      <c r="E75" s="129"/>
      <c r="F75" s="43"/>
      <c r="G75" s="43"/>
      <c r="H75" s="132"/>
      <c r="I75" s="132"/>
      <c r="J75" s="124"/>
      <c r="K75" s="127"/>
    </row>
    <row r="76" spans="1:11" ht="15" customHeight="1" thickBot="1" x14ac:dyDescent="0.3">
      <c r="A76" s="122">
        <v>6</v>
      </c>
      <c r="B76" s="130" t="s">
        <v>115</v>
      </c>
      <c r="C76" s="38" t="s">
        <v>116</v>
      </c>
      <c r="D76" s="52">
        <f>D16</f>
        <v>190655241.61000001</v>
      </c>
      <c r="E76" s="128">
        <f t="shared" si="1"/>
        <v>70.691183048245364</v>
      </c>
      <c r="F76" s="38" t="s">
        <v>112</v>
      </c>
      <c r="G76" s="38" t="s">
        <v>113</v>
      </c>
      <c r="H76" s="123" t="str">
        <f>IF(AND(E76&gt;=70,E76&lt;=80),"Y","X")</f>
        <v>Y</v>
      </c>
      <c r="I76" s="123" t="str">
        <f>IF(AND(E76&gt;60,E76&lt;70),"Y",IF(AND(E76&gt;80,E76&lt;=90),"Y","X"))</f>
        <v>X</v>
      </c>
      <c r="J76" s="123" t="str">
        <f t="shared" ref="J76" si="3">IF(AND(H76="Y",I76="X"),"Y",IF(AND(H76="X",I76="Y"),"YY","X"))</f>
        <v>Y</v>
      </c>
      <c r="K76" s="125"/>
    </row>
    <row r="77" spans="1:11" ht="15.75" thickBot="1" x14ac:dyDescent="0.3">
      <c r="A77" s="111"/>
      <c r="B77" s="131"/>
      <c r="C77" s="47" t="s">
        <v>114</v>
      </c>
      <c r="D77" s="52">
        <f>D75</f>
        <v>269701585.67000002</v>
      </c>
      <c r="E77" s="129"/>
      <c r="F77" s="43"/>
      <c r="G77" s="43"/>
      <c r="H77" s="132"/>
      <c r="I77" s="132"/>
      <c r="J77" s="124"/>
      <c r="K77" s="127"/>
    </row>
    <row r="78" spans="1:11" ht="15" customHeight="1" thickBot="1" x14ac:dyDescent="0.3">
      <c r="A78" s="122">
        <v>7</v>
      </c>
      <c r="B78" s="130" t="s">
        <v>117</v>
      </c>
      <c r="C78" s="47" t="s">
        <v>118</v>
      </c>
      <c r="D78" s="52">
        <f>D17</f>
        <v>1916657</v>
      </c>
      <c r="E78" s="128">
        <f t="shared" ref="E78:E84" si="4">D78/D79*100</f>
        <v>0.71065840982676776</v>
      </c>
      <c r="F78" s="38" t="s">
        <v>119</v>
      </c>
      <c r="G78" s="38" t="s">
        <v>120</v>
      </c>
      <c r="H78" s="123" t="str">
        <f>IF(E78&lt;5,"Y","X")</f>
        <v>Y</v>
      </c>
      <c r="I78" s="123" t="str">
        <f>IF(AND(E78&gt;5,E78&lt;=7.5),"Y","X")</f>
        <v>X</v>
      </c>
      <c r="J78" s="123" t="str">
        <f t="shared" ref="J78" si="5">IF(AND(H78="Y",I78="X"),"Y",IF(AND(H78="X",I78="Y"),"YY","X"))</f>
        <v>Y</v>
      </c>
      <c r="K78" s="125"/>
    </row>
    <row r="79" spans="1:11" ht="15.75" thickBot="1" x14ac:dyDescent="0.3">
      <c r="A79" s="111"/>
      <c r="B79" s="131"/>
      <c r="C79" s="44" t="s">
        <v>114</v>
      </c>
      <c r="D79" s="52">
        <f>D75</f>
        <v>269701585.67000002</v>
      </c>
      <c r="E79" s="129"/>
      <c r="F79" s="43"/>
      <c r="G79" s="43"/>
      <c r="H79" s="132"/>
      <c r="I79" s="132"/>
      <c r="J79" s="124"/>
      <c r="K79" s="127"/>
    </row>
    <row r="80" spans="1:11" ht="15.75" thickBot="1" x14ac:dyDescent="0.3">
      <c r="A80" s="122">
        <v>8</v>
      </c>
      <c r="B80" s="130" t="s">
        <v>121</v>
      </c>
      <c r="C80" s="44" t="s">
        <v>122</v>
      </c>
      <c r="D80" s="52">
        <f>D12</f>
        <v>17135100</v>
      </c>
      <c r="E80" s="128">
        <f t="shared" si="4"/>
        <v>6.3533553046907443</v>
      </c>
      <c r="F80" s="53" t="s">
        <v>123</v>
      </c>
      <c r="G80" s="38" t="s">
        <v>124</v>
      </c>
      <c r="H80" s="123" t="str">
        <f>IF(AND(E80&gt;=10,E80&lt;=20),"Y","X")</f>
        <v>X</v>
      </c>
      <c r="I80" s="123" t="str">
        <f>IF(AND(E80&gt;=7.5,E80&lt;10),"Y",IF(AND(E80&gt;20,E80&lt;=25),"Y","X"))</f>
        <v>X</v>
      </c>
      <c r="J80" s="123" t="str">
        <f t="shared" ref="J80" si="6">IF(AND(H80="Y",I80="X"),"Y",IF(AND(H80="X",I80="Y"),"YY","X"))</f>
        <v>X</v>
      </c>
      <c r="K80" s="125"/>
    </row>
    <row r="81" spans="1:11" ht="15.75" thickBot="1" x14ac:dyDescent="0.3">
      <c r="A81" s="111"/>
      <c r="B81" s="133"/>
      <c r="C81" s="44" t="s">
        <v>114</v>
      </c>
      <c r="D81" s="52">
        <f>D75</f>
        <v>269701585.67000002</v>
      </c>
      <c r="E81" s="129"/>
      <c r="F81" s="54"/>
      <c r="G81" s="43"/>
      <c r="H81" s="132"/>
      <c r="I81" s="132"/>
      <c r="J81" s="124"/>
      <c r="K81" s="127"/>
    </row>
    <row r="82" spans="1:11" ht="15.6" customHeight="1" thickBot="1" x14ac:dyDescent="0.3">
      <c r="A82" s="122">
        <v>9</v>
      </c>
      <c r="B82" s="130" t="s">
        <v>125</v>
      </c>
      <c r="C82" s="55" t="s">
        <v>126</v>
      </c>
      <c r="D82" s="52">
        <f>D13+D14+D15</f>
        <v>23015959.460000001</v>
      </c>
      <c r="E82" s="128">
        <f t="shared" si="4"/>
        <v>8.5338613797257175</v>
      </c>
      <c r="F82" s="38" t="s">
        <v>127</v>
      </c>
      <c r="G82" s="38" t="s">
        <v>128</v>
      </c>
      <c r="H82" s="123" t="str">
        <f>IF(E82&gt;=10,"Y","X")</f>
        <v>X</v>
      </c>
      <c r="I82" s="123" t="str">
        <f>IF(AND(E82&gt;7.5,E82&lt;10),"Y","X")</f>
        <v>Y</v>
      </c>
      <c r="J82" s="123" t="str">
        <f t="shared" ref="J82" si="7">IF(AND(H82="Y",I82="X"),"Y",IF(AND(H82="X",I82="Y"),"YY","X"))</f>
        <v>YY</v>
      </c>
      <c r="K82" s="125"/>
    </row>
    <row r="83" spans="1:11" ht="15.75" thickBot="1" x14ac:dyDescent="0.3">
      <c r="A83" s="111"/>
      <c r="B83" s="131"/>
      <c r="C83" s="44" t="s">
        <v>114</v>
      </c>
      <c r="D83" s="52">
        <f>D75</f>
        <v>269701585.67000002</v>
      </c>
      <c r="E83" s="129"/>
      <c r="F83" s="43"/>
      <c r="G83" s="43"/>
      <c r="H83" s="132"/>
      <c r="I83" s="132"/>
      <c r="J83" s="124"/>
      <c r="K83" s="127"/>
    </row>
    <row r="84" spans="1:11" ht="15" customHeight="1" thickBot="1" x14ac:dyDescent="0.3">
      <c r="A84" s="122">
        <v>10</v>
      </c>
      <c r="B84" s="130" t="s">
        <v>129</v>
      </c>
      <c r="C84" s="38" t="s">
        <v>130</v>
      </c>
      <c r="D84" s="52">
        <f>D11</f>
        <v>9711059</v>
      </c>
      <c r="E84" s="128">
        <f t="shared" si="4"/>
        <v>4.4805010135831989</v>
      </c>
      <c r="F84" s="38" t="s">
        <v>131</v>
      </c>
      <c r="G84" s="38" t="s">
        <v>132</v>
      </c>
      <c r="H84" s="123" t="str">
        <f>IF(E84&lt;=5,"Y","X")</f>
        <v>Y</v>
      </c>
      <c r="I84" s="123" t="str">
        <f>IF(AND(E84&gt;5,E84&lt;=7.5),"Y","X")</f>
        <v>X</v>
      </c>
      <c r="J84" s="123" t="str">
        <f t="shared" ref="J84" si="8">IF(AND(H84="Y",I84="X"),"Y",IF(AND(H84="X",I84="Y"),"YY","X"))</f>
        <v>Y</v>
      </c>
      <c r="K84" s="125"/>
    </row>
    <row r="85" spans="1:11" ht="15.75" thickBot="1" x14ac:dyDescent="0.3">
      <c r="A85" s="111"/>
      <c r="B85" s="131"/>
      <c r="C85" s="47" t="s">
        <v>133</v>
      </c>
      <c r="D85" s="52">
        <f>D23</f>
        <v>216740471</v>
      </c>
      <c r="E85" s="129"/>
      <c r="F85" s="43"/>
      <c r="G85" s="43"/>
      <c r="H85" s="132"/>
      <c r="I85" s="132"/>
      <c r="J85" s="124"/>
      <c r="K85" s="127"/>
    </row>
    <row r="86" spans="1:11" ht="15.75" thickBot="1" x14ac:dyDescent="0.3">
      <c r="A86" s="122">
        <v>11</v>
      </c>
      <c r="B86" s="130" t="s">
        <v>134</v>
      </c>
      <c r="C86" s="44" t="s">
        <v>135</v>
      </c>
      <c r="D86" s="52">
        <f>D19+D21+D24+D25+D26</f>
        <v>52000167.780000001</v>
      </c>
      <c r="E86" s="128">
        <f>IFERROR(D86/D87*100,0)</f>
        <v>19.280631091144596</v>
      </c>
      <c r="F86" s="38" t="s">
        <v>119</v>
      </c>
      <c r="G86" s="38" t="s">
        <v>132</v>
      </c>
      <c r="H86" s="123" t="str">
        <f>IF(E86&lt;5,"Y","X")</f>
        <v>X</v>
      </c>
      <c r="I86" s="123" t="str">
        <f>IF(AND(E86&gt;5,E86&lt;=7.5),"Y","X")</f>
        <v>X</v>
      </c>
      <c r="J86" s="123" t="str">
        <f t="shared" ref="J86" si="9">IF(AND(H86="Y",I86="X"),"Y",IF(AND(H86="X",I86="Y"),"YY","X"))</f>
        <v>X</v>
      </c>
      <c r="K86" s="125"/>
    </row>
    <row r="87" spans="1:11" ht="15.75" thickBot="1" x14ac:dyDescent="0.3">
      <c r="A87" s="111"/>
      <c r="B87" s="131"/>
      <c r="C87" s="44" t="s">
        <v>114</v>
      </c>
      <c r="D87" s="52">
        <f>D75</f>
        <v>269701585.67000002</v>
      </c>
      <c r="E87" s="129"/>
      <c r="F87" s="43"/>
      <c r="G87" s="43"/>
      <c r="H87" s="132"/>
      <c r="I87" s="132"/>
      <c r="J87" s="124"/>
      <c r="K87" s="127"/>
    </row>
    <row r="88" spans="1:11" ht="28.5" customHeight="1" thickBot="1" x14ac:dyDescent="0.3">
      <c r="A88" s="122">
        <v>12</v>
      </c>
      <c r="B88" s="130" t="s">
        <v>136</v>
      </c>
      <c r="C88" s="42" t="s">
        <v>137</v>
      </c>
      <c r="D88" s="52">
        <f>D35-D6</f>
        <v>9821508.589999998</v>
      </c>
      <c r="E88" s="128">
        <f>IFERROR(D88/D89*100,0)</f>
        <v>3.8984087685563358</v>
      </c>
      <c r="F88" s="38" t="s">
        <v>131</v>
      </c>
      <c r="G88" s="38" t="s">
        <v>132</v>
      </c>
      <c r="H88" s="123" t="str">
        <f>IF(E88&lt;=5,"Y","X")</f>
        <v>Y</v>
      </c>
      <c r="I88" s="123" t="str">
        <f>IF(AND(E88&gt;5,E88&lt;=7.5),"Y","X")</f>
        <v>X</v>
      </c>
      <c r="J88" s="123" t="str">
        <f t="shared" ref="J88" si="10">IF(AND(H88="Y",I88="X"),"Y",IF(AND(H88="X",I88="Y"),"YY","X"))</f>
        <v>Y</v>
      </c>
      <c r="K88" s="125"/>
    </row>
    <row r="89" spans="1:11" ht="15.75" thickBot="1" x14ac:dyDescent="0.3">
      <c r="A89" s="111"/>
      <c r="B89" s="131"/>
      <c r="C89" s="47" t="s">
        <v>138</v>
      </c>
      <c r="D89" s="52">
        <f>(D28+D29)/2</f>
        <v>251936345.65000001</v>
      </c>
      <c r="E89" s="129"/>
      <c r="F89" s="43"/>
      <c r="G89" s="43"/>
      <c r="H89" s="132"/>
      <c r="I89" s="132"/>
      <c r="J89" s="124"/>
      <c r="K89" s="127"/>
    </row>
    <row r="90" spans="1:11" ht="15.6" customHeight="1" thickBot="1" x14ac:dyDescent="0.3">
      <c r="A90" s="122">
        <v>13</v>
      </c>
      <c r="B90" s="130" t="s">
        <v>139</v>
      </c>
      <c r="C90" s="55" t="s">
        <v>140</v>
      </c>
      <c r="D90" s="52">
        <f>D36</f>
        <v>6692835.4100000001</v>
      </c>
      <c r="E90" s="128">
        <f t="shared" ref="E90:E96" si="11">D90/D91*100</f>
        <v>2.656558105077047</v>
      </c>
      <c r="F90" s="38" t="s">
        <v>141</v>
      </c>
      <c r="G90" s="38" t="s">
        <v>142</v>
      </c>
      <c r="H90" s="123" t="str">
        <f>IF(AND(E90&gt;=10,E90&gt;5),"Y","X")</f>
        <v>X</v>
      </c>
      <c r="I90" s="123" t="str">
        <f>IF(E90&gt;=5,"Y","X")</f>
        <v>X</v>
      </c>
      <c r="J90" s="123" t="str">
        <f t="shared" ref="J90" si="12">IF(AND(H90="Y",I90="X"),"Y",IF(AND(H90="X",I90="Y"),"YY","X"))</f>
        <v>X</v>
      </c>
      <c r="K90" s="125"/>
    </row>
    <row r="91" spans="1:11" ht="15.75" thickBot="1" x14ac:dyDescent="0.3">
      <c r="A91" s="111"/>
      <c r="B91" s="131"/>
      <c r="C91" s="44" t="s">
        <v>138</v>
      </c>
      <c r="D91" s="48">
        <f>D89</f>
        <v>251936345.65000001</v>
      </c>
      <c r="E91" s="129"/>
      <c r="F91" s="43"/>
      <c r="G91" s="43"/>
      <c r="H91" s="132"/>
      <c r="I91" s="132"/>
      <c r="J91" s="124"/>
      <c r="K91" s="127"/>
    </row>
    <row r="92" spans="1:11" ht="15" customHeight="1" thickBot="1" x14ac:dyDescent="0.3">
      <c r="A92" s="122">
        <v>14</v>
      </c>
      <c r="B92" s="130" t="s">
        <v>143</v>
      </c>
      <c r="C92" s="47" t="s">
        <v>144</v>
      </c>
      <c r="D92" s="52">
        <f>D19+D20</f>
        <v>758387</v>
      </c>
      <c r="E92" s="128">
        <f t="shared" si="11"/>
        <v>0.39777925516012774</v>
      </c>
      <c r="F92" s="45">
        <v>10</v>
      </c>
      <c r="G92" s="38" t="s">
        <v>145</v>
      </c>
      <c r="H92" s="123" t="str">
        <f>IF(AND(E92=10,E92&gt;15),"Y","X")</f>
        <v>X</v>
      </c>
      <c r="I92" s="123" t="str">
        <f>IF(AND(E92&gt;=7.5,E92&lt;=15),"Y","X")</f>
        <v>X</v>
      </c>
      <c r="J92" s="123" t="str">
        <f t="shared" ref="J92" si="13">IF(AND(H92="Y",I92="X"),"Y",IF(AND(H92="X",I92="Y"),"YY","X"))</f>
        <v>X</v>
      </c>
      <c r="K92" s="125"/>
    </row>
    <row r="93" spans="1:11" ht="15.75" thickBot="1" x14ac:dyDescent="0.3">
      <c r="A93" s="111"/>
      <c r="B93" s="133"/>
      <c r="C93" s="44" t="s">
        <v>116</v>
      </c>
      <c r="D93" s="52">
        <f>D76</f>
        <v>190655241.61000001</v>
      </c>
      <c r="E93" s="129"/>
      <c r="F93" s="43"/>
      <c r="G93" s="43"/>
      <c r="H93" s="132"/>
      <c r="I93" s="132"/>
      <c r="J93" s="124"/>
      <c r="K93" s="127"/>
    </row>
    <row r="94" spans="1:11" ht="15.75" thickBot="1" x14ac:dyDescent="0.3">
      <c r="A94" s="122">
        <v>15</v>
      </c>
      <c r="B94" s="130" t="s">
        <v>146</v>
      </c>
      <c r="C94" s="47" t="s">
        <v>147</v>
      </c>
      <c r="D94" s="52">
        <f>((D28-D29))</f>
        <v>35530480.040000021</v>
      </c>
      <c r="E94" s="128">
        <f>IFERROR(D94/D95*100,0)</f>
        <v>15.172871112518743</v>
      </c>
      <c r="F94" s="38" t="s">
        <v>148</v>
      </c>
      <c r="G94" s="38" t="s">
        <v>142</v>
      </c>
      <c r="H94" s="123" t="str">
        <f>IF(E94&gt;=7.5,"Y","X")</f>
        <v>Y</v>
      </c>
      <c r="I94" s="123" t="str">
        <f>IF(AND(E94&gt;=5,E94&lt;7.5),"Y","X")</f>
        <v>X</v>
      </c>
      <c r="J94" s="123" t="str">
        <f t="shared" ref="J94:J102" si="14">IF(AND(H94="Y",I94="X"),"Y",IF(AND(H94="X",I94="Y"),"YY","X"))</f>
        <v>Y</v>
      </c>
      <c r="K94" s="125"/>
    </row>
    <row r="95" spans="1:11" ht="15.6" customHeight="1" thickBot="1" x14ac:dyDescent="0.3">
      <c r="A95" s="111"/>
      <c r="B95" s="131"/>
      <c r="C95" s="47" t="s">
        <v>149</v>
      </c>
      <c r="D95" s="52">
        <f>D29</f>
        <v>234171105.63</v>
      </c>
      <c r="E95" s="129"/>
      <c r="F95" s="43"/>
      <c r="G95" s="43"/>
      <c r="H95" s="132"/>
      <c r="I95" s="132"/>
      <c r="J95" s="132"/>
      <c r="K95" s="127"/>
    </row>
    <row r="96" spans="1:11" ht="15.6" customHeight="1" thickBot="1" x14ac:dyDescent="0.3">
      <c r="A96" s="122">
        <v>16</v>
      </c>
      <c r="B96" s="120" t="s">
        <v>150</v>
      </c>
      <c r="C96" s="47" t="s">
        <v>151</v>
      </c>
      <c r="D96" s="48">
        <f>D40+D39</f>
        <v>140734566.76000002</v>
      </c>
      <c r="E96" s="128">
        <f t="shared" si="11"/>
        <v>50.564464340708291</v>
      </c>
      <c r="F96" s="38" t="s">
        <v>152</v>
      </c>
      <c r="G96" s="38" t="s">
        <v>153</v>
      </c>
      <c r="H96" s="123" t="str">
        <f>IF(E96&gt;60,"Y","X")</f>
        <v>X</v>
      </c>
      <c r="I96" s="123" t="str">
        <f>IF(AND(E96&gt;45,E96&lt;60),"Y","X")</f>
        <v>Y</v>
      </c>
      <c r="J96" s="123" t="str">
        <f t="shared" si="14"/>
        <v>YY</v>
      </c>
      <c r="K96" s="134"/>
    </row>
    <row r="97" spans="1:11" ht="15.6" customHeight="1" thickBot="1" x14ac:dyDescent="0.3">
      <c r="A97" s="111"/>
      <c r="B97" s="121"/>
      <c r="C97" s="47" t="s">
        <v>154</v>
      </c>
      <c r="D97" s="48">
        <f>D41+D42</f>
        <v>278327019.96350002</v>
      </c>
      <c r="E97" s="129"/>
      <c r="F97" s="43"/>
      <c r="G97" s="43"/>
      <c r="H97" s="132"/>
      <c r="I97" s="132"/>
      <c r="J97" s="132"/>
      <c r="K97" s="135"/>
    </row>
    <row r="98" spans="1:11" ht="28.5" customHeight="1" thickBot="1" x14ac:dyDescent="0.3">
      <c r="A98" s="122">
        <v>17</v>
      </c>
      <c r="B98" s="120" t="s">
        <v>155</v>
      </c>
      <c r="C98" s="47" t="s">
        <v>156</v>
      </c>
      <c r="D98" s="48">
        <f>D44+D45+D46</f>
        <v>1560</v>
      </c>
      <c r="E98" s="128">
        <f>IFERROR(D98/D99*100,0)</f>
        <v>9.214956583377635</v>
      </c>
      <c r="F98" s="38" t="s">
        <v>152</v>
      </c>
      <c r="G98" s="38" t="s">
        <v>153</v>
      </c>
      <c r="H98" s="123" t="str">
        <f>IF(E98&gt;60,"Y","X")</f>
        <v>X</v>
      </c>
      <c r="I98" s="123" t="str">
        <f t="shared" ref="I98" si="15">IF(AND(E98&gt;45,E98&lt;60),"Y","X")</f>
        <v>X</v>
      </c>
      <c r="J98" s="123" t="str">
        <f t="shared" si="14"/>
        <v>X</v>
      </c>
      <c r="K98" s="134"/>
    </row>
    <row r="99" spans="1:11" ht="15.6" customHeight="1" thickBot="1" x14ac:dyDescent="0.3">
      <c r="A99" s="111"/>
      <c r="B99" s="121"/>
      <c r="C99" s="47" t="s">
        <v>157</v>
      </c>
      <c r="D99" s="48">
        <f>((D37+D38)/2)*6</f>
        <v>16929</v>
      </c>
      <c r="E99" s="129"/>
      <c r="F99" s="43"/>
      <c r="G99" s="43"/>
      <c r="H99" s="132"/>
      <c r="I99" s="132"/>
      <c r="J99" s="132"/>
      <c r="K99" s="135"/>
    </row>
    <row r="100" spans="1:11" ht="15.6" customHeight="1" thickBot="1" x14ac:dyDescent="0.3">
      <c r="A100" s="122">
        <v>18</v>
      </c>
      <c r="B100" s="120" t="s">
        <v>158</v>
      </c>
      <c r="C100" s="47" t="s">
        <v>159</v>
      </c>
      <c r="D100" s="48">
        <f>D43</f>
        <v>1338</v>
      </c>
      <c r="E100" s="128">
        <f>IFERROR(D100/D101*100,0)</f>
        <v>47.421584263689525</v>
      </c>
      <c r="F100" s="38" t="s">
        <v>152</v>
      </c>
      <c r="G100" s="38" t="s">
        <v>153</v>
      </c>
      <c r="H100" s="123" t="str">
        <f>IF(E100&gt;60,"Y","X")</f>
        <v>X</v>
      </c>
      <c r="I100" s="123" t="str">
        <f t="shared" ref="I100" si="16">IF(AND(E100&gt;45,E100&lt;60),"Y","X")</f>
        <v>Y</v>
      </c>
      <c r="J100" s="123" t="str">
        <f t="shared" si="14"/>
        <v>YY</v>
      </c>
      <c r="K100" s="134"/>
    </row>
    <row r="101" spans="1:11" ht="15.6" customHeight="1" thickBot="1" x14ac:dyDescent="0.3">
      <c r="A101" s="111"/>
      <c r="B101" s="121"/>
      <c r="C101" s="47" t="s">
        <v>160</v>
      </c>
      <c r="D101" s="48">
        <f>(D37+D38)/2</f>
        <v>2821.5</v>
      </c>
      <c r="E101" s="129"/>
      <c r="F101" s="43"/>
      <c r="G101" s="43"/>
      <c r="H101" s="132"/>
      <c r="I101" s="132"/>
      <c r="J101" s="132"/>
      <c r="K101" s="135"/>
    </row>
    <row r="102" spans="1:11" ht="15.6" customHeight="1" thickBot="1" x14ac:dyDescent="0.3">
      <c r="A102" s="122">
        <v>19</v>
      </c>
      <c r="B102" s="120" t="s">
        <v>161</v>
      </c>
      <c r="C102" s="47" t="s">
        <v>162</v>
      </c>
      <c r="D102" s="48">
        <f>D47+D49</f>
        <v>0</v>
      </c>
      <c r="E102" s="128">
        <f>IFERROR(D102/D103*100,0)</f>
        <v>0</v>
      </c>
      <c r="F102" s="38" t="s">
        <v>152</v>
      </c>
      <c r="G102" s="38" t="s">
        <v>153</v>
      </c>
      <c r="H102" s="123" t="str">
        <f>IF(E102&gt;60,"Y","X")</f>
        <v>X</v>
      </c>
      <c r="I102" s="123" t="str">
        <f t="shared" ref="I102" si="17">IF(AND(E102&gt;45,E102&lt;60),"Y","X")</f>
        <v>X</v>
      </c>
      <c r="J102" s="123" t="str">
        <f t="shared" si="14"/>
        <v>X</v>
      </c>
      <c r="K102" s="134"/>
    </row>
    <row r="103" spans="1:11" ht="30" customHeight="1" thickBot="1" x14ac:dyDescent="0.3">
      <c r="A103" s="111"/>
      <c r="B103" s="121"/>
      <c r="C103" s="47" t="s">
        <v>163</v>
      </c>
      <c r="D103" s="48">
        <f>D48+D50</f>
        <v>0</v>
      </c>
      <c r="E103" s="129"/>
      <c r="F103" s="43"/>
      <c r="G103" s="43"/>
      <c r="H103" s="132"/>
      <c r="I103" s="132"/>
      <c r="J103" s="132"/>
      <c r="K103" s="135"/>
    </row>
    <row r="104" spans="1:11" ht="15.75" thickBot="1" x14ac:dyDescent="0.3">
      <c r="A104" s="146" t="s">
        <v>164</v>
      </c>
      <c r="B104" s="146"/>
      <c r="C104" s="146"/>
      <c r="D104" s="146"/>
      <c r="E104" s="147"/>
      <c r="F104" s="56" t="s">
        <v>165</v>
      </c>
      <c r="G104" s="56"/>
      <c r="H104" s="57">
        <f>COUNTIF(H66:H103,"Y")</f>
        <v>9</v>
      </c>
      <c r="I104" s="57">
        <f>COUNTIF(I66:I103,"Y")</f>
        <v>4</v>
      </c>
      <c r="J104" s="58"/>
      <c r="K104" s="29"/>
    </row>
    <row r="105" spans="1:11" ht="15.75" thickBot="1" x14ac:dyDescent="0.3">
      <c r="A105" s="59" t="s">
        <v>7</v>
      </c>
      <c r="B105" s="148" t="s">
        <v>166</v>
      </c>
      <c r="C105" s="149"/>
      <c r="D105" s="149"/>
      <c r="E105" s="150"/>
      <c r="F105" s="60" t="s">
        <v>167</v>
      </c>
      <c r="G105" s="61"/>
      <c r="H105" s="62" t="s">
        <v>168</v>
      </c>
      <c r="I105" s="63"/>
      <c r="J105" s="151" t="s">
        <v>169</v>
      </c>
      <c r="K105" s="152"/>
    </row>
    <row r="106" spans="1:11" x14ac:dyDescent="0.25">
      <c r="A106" s="64">
        <v>1</v>
      </c>
      <c r="B106" s="136" t="s">
        <v>170</v>
      </c>
      <c r="C106" s="137"/>
      <c r="D106" s="137"/>
      <c r="E106" s="138"/>
      <c r="F106" s="65" t="s">
        <v>171</v>
      </c>
      <c r="G106" s="66"/>
      <c r="H106" s="67"/>
      <c r="I106" s="58"/>
      <c r="J106" s="139" t="str">
        <f>IF(AND(H104+I104&lt;=6),"उच्च जोखिम",IF(AND(H104+I104&gt;=7,H104+I104&lt;=11),"मध्यम जोखिम",IF(AND(H104+I104&gt;=12),"न्यून जोखिम",IF(AND(H104&gt;12,I104&gt;=5,),"अति न्यून जोखिम","मिलेन"))))</f>
        <v>न्यून जोखिम</v>
      </c>
      <c r="K106" s="140"/>
    </row>
    <row r="107" spans="1:11" ht="15.75" thickBot="1" x14ac:dyDescent="0.3">
      <c r="A107" s="64">
        <v>2</v>
      </c>
      <c r="B107" s="136" t="s">
        <v>172</v>
      </c>
      <c r="C107" s="137"/>
      <c r="D107" s="137"/>
      <c r="E107" s="138"/>
      <c r="F107" s="65" t="s">
        <v>173</v>
      </c>
      <c r="G107" s="66"/>
      <c r="H107" s="68"/>
      <c r="I107" s="58"/>
      <c r="J107" s="153"/>
      <c r="K107" s="154"/>
    </row>
    <row r="108" spans="1:11" x14ac:dyDescent="0.25">
      <c r="A108" s="64">
        <v>3</v>
      </c>
      <c r="B108" s="136" t="s">
        <v>174</v>
      </c>
      <c r="C108" s="137"/>
      <c r="D108" s="137"/>
      <c r="E108" s="138"/>
      <c r="F108" s="65" t="s">
        <v>175</v>
      </c>
      <c r="G108" s="66"/>
      <c r="H108" s="69"/>
      <c r="I108" s="58"/>
      <c r="J108" s="139" t="str">
        <f>IF(J106="उच्च जोखिम","D",IF(J106="मध्यम जोखिम","C",IF(J106="न्यून जोखिम","B",IF(J106="अति न्यून जोखिम","A"))))</f>
        <v>B</v>
      </c>
      <c r="K108" s="140"/>
    </row>
    <row r="109" spans="1:11" ht="15.75" thickBot="1" x14ac:dyDescent="0.3">
      <c r="A109" s="70">
        <v>4</v>
      </c>
      <c r="B109" s="143" t="s">
        <v>176</v>
      </c>
      <c r="C109" s="144"/>
      <c r="D109" s="144"/>
      <c r="E109" s="145"/>
      <c r="F109" s="71" t="s">
        <v>177</v>
      </c>
      <c r="G109" s="72"/>
      <c r="H109" s="73"/>
      <c r="I109" s="74"/>
      <c r="J109" s="141"/>
      <c r="K109" s="142"/>
    </row>
  </sheetData>
  <sheetProtection algorithmName="SHA-512" hashValue="pFUZMfC5R2r/mFmfXPDOuK9PygVEpv1hQbiDopwUGMEgGw69iVMfJ2dFFYMkaYhWtnprYwfm53eO4bPk8DOx/A==" saltValue="BINYUyrOAUcqYuqgljRo0w==" spinCount="100000" sheet="1" objects="1" scenarios="1" formatCells="0" formatColumns="0" formatRows="0" insertColumns="0" insertRows="0" insertHyperlinks="0" deleteColumns="0" deleteRows="0"/>
  <mergeCells count="286">
    <mergeCell ref="B108:E108"/>
    <mergeCell ref="J108:K109"/>
    <mergeCell ref="B109:E109"/>
    <mergeCell ref="A104:E104"/>
    <mergeCell ref="B105:E105"/>
    <mergeCell ref="J105:K105"/>
    <mergeCell ref="B106:E106"/>
    <mergeCell ref="J106:K107"/>
    <mergeCell ref="B107:E107"/>
    <mergeCell ref="K100:K101"/>
    <mergeCell ref="A102:A103"/>
    <mergeCell ref="B102:B103"/>
    <mergeCell ref="E102:E103"/>
    <mergeCell ref="H102:H103"/>
    <mergeCell ref="I102:I103"/>
    <mergeCell ref="J102:J103"/>
    <mergeCell ref="K102:K103"/>
    <mergeCell ref="A100:A101"/>
    <mergeCell ref="B100:B101"/>
    <mergeCell ref="E100:E101"/>
    <mergeCell ref="H100:H101"/>
    <mergeCell ref="I100:I101"/>
    <mergeCell ref="J100:J101"/>
    <mergeCell ref="K96:K97"/>
    <mergeCell ref="A98:A99"/>
    <mergeCell ref="B98:B99"/>
    <mergeCell ref="E98:E99"/>
    <mergeCell ref="H98:H99"/>
    <mergeCell ref="I98:I99"/>
    <mergeCell ref="J98:J99"/>
    <mergeCell ref="K98:K99"/>
    <mergeCell ref="A96:A97"/>
    <mergeCell ref="B96:B97"/>
    <mergeCell ref="E96:E97"/>
    <mergeCell ref="H96:H97"/>
    <mergeCell ref="I96:I97"/>
    <mergeCell ref="J96:J97"/>
    <mergeCell ref="K92:K93"/>
    <mergeCell ref="A94:A95"/>
    <mergeCell ref="B94:B95"/>
    <mergeCell ref="E94:E95"/>
    <mergeCell ref="H94:H95"/>
    <mergeCell ref="I94:I95"/>
    <mergeCell ref="J94:J95"/>
    <mergeCell ref="K94:K95"/>
    <mergeCell ref="A92:A93"/>
    <mergeCell ref="B92:B93"/>
    <mergeCell ref="E92:E93"/>
    <mergeCell ref="H92:H93"/>
    <mergeCell ref="I92:I93"/>
    <mergeCell ref="J92:J93"/>
    <mergeCell ref="K88:K89"/>
    <mergeCell ref="A90:A91"/>
    <mergeCell ref="B90:B91"/>
    <mergeCell ref="E90:E91"/>
    <mergeCell ref="H90:H91"/>
    <mergeCell ref="I90:I91"/>
    <mergeCell ref="J90:J91"/>
    <mergeCell ref="K90:K91"/>
    <mergeCell ref="A88:A89"/>
    <mergeCell ref="B88:B89"/>
    <mergeCell ref="E88:E89"/>
    <mergeCell ref="H88:H89"/>
    <mergeCell ref="I88:I89"/>
    <mergeCell ref="J88:J89"/>
    <mergeCell ref="K84:K85"/>
    <mergeCell ref="A86:A87"/>
    <mergeCell ref="B86:B87"/>
    <mergeCell ref="E86:E87"/>
    <mergeCell ref="H86:H87"/>
    <mergeCell ref="I86:I87"/>
    <mergeCell ref="J86:J87"/>
    <mergeCell ref="K86:K87"/>
    <mergeCell ref="A84:A85"/>
    <mergeCell ref="B84:B85"/>
    <mergeCell ref="E84:E85"/>
    <mergeCell ref="H84:H85"/>
    <mergeCell ref="I84:I85"/>
    <mergeCell ref="J84:J85"/>
    <mergeCell ref="K80:K81"/>
    <mergeCell ref="A82:A83"/>
    <mergeCell ref="B82:B83"/>
    <mergeCell ref="E82:E83"/>
    <mergeCell ref="H82:H83"/>
    <mergeCell ref="I82:I83"/>
    <mergeCell ref="J82:J83"/>
    <mergeCell ref="K82:K83"/>
    <mergeCell ref="A80:A81"/>
    <mergeCell ref="B80:B81"/>
    <mergeCell ref="E80:E81"/>
    <mergeCell ref="H80:H81"/>
    <mergeCell ref="I80:I81"/>
    <mergeCell ref="J80:J81"/>
    <mergeCell ref="K76:K77"/>
    <mergeCell ref="A78:A79"/>
    <mergeCell ref="B78:B79"/>
    <mergeCell ref="E78:E79"/>
    <mergeCell ref="H78:H79"/>
    <mergeCell ref="I78:I79"/>
    <mergeCell ref="J78:J79"/>
    <mergeCell ref="K78:K79"/>
    <mergeCell ref="A76:A77"/>
    <mergeCell ref="B76:B77"/>
    <mergeCell ref="E76:E77"/>
    <mergeCell ref="H76:H77"/>
    <mergeCell ref="I76:I77"/>
    <mergeCell ref="J76:J77"/>
    <mergeCell ref="K72:K73"/>
    <mergeCell ref="A74:A75"/>
    <mergeCell ref="B74:B75"/>
    <mergeCell ref="E74:E75"/>
    <mergeCell ref="H74:H75"/>
    <mergeCell ref="I74:I75"/>
    <mergeCell ref="J74:J75"/>
    <mergeCell ref="K74:K75"/>
    <mergeCell ref="A72:A73"/>
    <mergeCell ref="B72:B73"/>
    <mergeCell ref="E72:E73"/>
    <mergeCell ref="H72:H73"/>
    <mergeCell ref="I72:I73"/>
    <mergeCell ref="J72:J73"/>
    <mergeCell ref="A66:A67"/>
    <mergeCell ref="B66:B67"/>
    <mergeCell ref="E66:E67"/>
    <mergeCell ref="H66:H67"/>
    <mergeCell ref="I66:I67"/>
    <mergeCell ref="J66:J67"/>
    <mergeCell ref="K66:K67"/>
    <mergeCell ref="K68:K69"/>
    <mergeCell ref="A70:A71"/>
    <mergeCell ref="B70:B71"/>
    <mergeCell ref="E70:E71"/>
    <mergeCell ref="H70:H71"/>
    <mergeCell ref="I70:I71"/>
    <mergeCell ref="J70:J71"/>
    <mergeCell ref="A68:A69"/>
    <mergeCell ref="B68:B69"/>
    <mergeCell ref="E68:E69"/>
    <mergeCell ref="H68:H69"/>
    <mergeCell ref="I68:I69"/>
    <mergeCell ref="J68:J69"/>
    <mergeCell ref="C60:E60"/>
    <mergeCell ref="G60:I60"/>
    <mergeCell ref="D61:E61"/>
    <mergeCell ref="A63:A65"/>
    <mergeCell ref="B63:B65"/>
    <mergeCell ref="C63:C65"/>
    <mergeCell ref="D63:E63"/>
    <mergeCell ref="H63:I63"/>
    <mergeCell ref="B50:C50"/>
    <mergeCell ref="D50:E50"/>
    <mergeCell ref="A55:K55"/>
    <mergeCell ref="A56:K56"/>
    <mergeCell ref="A57:K57"/>
    <mergeCell ref="C59:H59"/>
    <mergeCell ref="J63:J65"/>
    <mergeCell ref="K63:K65"/>
    <mergeCell ref="D64:D65"/>
    <mergeCell ref="B47:C47"/>
    <mergeCell ref="D47:E47"/>
    <mergeCell ref="B48:C48"/>
    <mergeCell ref="D48:E48"/>
    <mergeCell ref="B49:C49"/>
    <mergeCell ref="D49:E49"/>
    <mergeCell ref="B44:C44"/>
    <mergeCell ref="D44:E44"/>
    <mergeCell ref="B45:C45"/>
    <mergeCell ref="D45:E45"/>
    <mergeCell ref="B46:C46"/>
    <mergeCell ref="D46:E46"/>
    <mergeCell ref="B40:C40"/>
    <mergeCell ref="D40:E40"/>
    <mergeCell ref="B41:C41"/>
    <mergeCell ref="D41:E41"/>
    <mergeCell ref="D42:E42"/>
    <mergeCell ref="B43:C43"/>
    <mergeCell ref="D43:E43"/>
    <mergeCell ref="B37:C37"/>
    <mergeCell ref="D37:E37"/>
    <mergeCell ref="H37:J37"/>
    <mergeCell ref="B38:C38"/>
    <mergeCell ref="D38:E38"/>
    <mergeCell ref="B39:C39"/>
    <mergeCell ref="D39:E39"/>
    <mergeCell ref="B35:C35"/>
    <mergeCell ref="D35:E35"/>
    <mergeCell ref="H35:J35"/>
    <mergeCell ref="B36:C36"/>
    <mergeCell ref="D36:E36"/>
    <mergeCell ref="H36:J36"/>
    <mergeCell ref="B33:C33"/>
    <mergeCell ref="D33:E33"/>
    <mergeCell ref="H33:J33"/>
    <mergeCell ref="B34:C34"/>
    <mergeCell ref="D34:E34"/>
    <mergeCell ref="H34:J34"/>
    <mergeCell ref="B31:C31"/>
    <mergeCell ref="D31:E31"/>
    <mergeCell ref="H31:J31"/>
    <mergeCell ref="B32:C32"/>
    <mergeCell ref="D32:E32"/>
    <mergeCell ref="H32:J32"/>
    <mergeCell ref="B29:C29"/>
    <mergeCell ref="D29:E29"/>
    <mergeCell ref="H29:J29"/>
    <mergeCell ref="B30:C30"/>
    <mergeCell ref="D30:E30"/>
    <mergeCell ref="H30:J30"/>
    <mergeCell ref="B27:C27"/>
    <mergeCell ref="D27:E27"/>
    <mergeCell ref="H27:J27"/>
    <mergeCell ref="B28:C28"/>
    <mergeCell ref="D28:E28"/>
    <mergeCell ref="H28:J28"/>
    <mergeCell ref="B25:C25"/>
    <mergeCell ref="D25:E25"/>
    <mergeCell ref="H25:J25"/>
    <mergeCell ref="B26:C26"/>
    <mergeCell ref="D26:E26"/>
    <mergeCell ref="H26:J26"/>
    <mergeCell ref="B23:C23"/>
    <mergeCell ref="D23:E23"/>
    <mergeCell ref="H23:J23"/>
    <mergeCell ref="B24:C24"/>
    <mergeCell ref="D24:E24"/>
    <mergeCell ref="H24:J24"/>
    <mergeCell ref="B21:C21"/>
    <mergeCell ref="D21:E21"/>
    <mergeCell ref="H21:J21"/>
    <mergeCell ref="B22:C22"/>
    <mergeCell ref="D22:E22"/>
    <mergeCell ref="H22:J22"/>
    <mergeCell ref="B19:C19"/>
    <mergeCell ref="D19:E19"/>
    <mergeCell ref="H19:J19"/>
    <mergeCell ref="B20:C20"/>
    <mergeCell ref="D20:E20"/>
    <mergeCell ref="H20:J20"/>
    <mergeCell ref="B17:C17"/>
    <mergeCell ref="D17:E17"/>
    <mergeCell ref="H17:J17"/>
    <mergeCell ref="B18:C18"/>
    <mergeCell ref="D18:E18"/>
    <mergeCell ref="H18:J18"/>
    <mergeCell ref="B15:C15"/>
    <mergeCell ref="D15:E15"/>
    <mergeCell ref="H15:J15"/>
    <mergeCell ref="B16:C16"/>
    <mergeCell ref="D16:E16"/>
    <mergeCell ref="H16:J16"/>
    <mergeCell ref="B13:C13"/>
    <mergeCell ref="D13:E13"/>
    <mergeCell ref="H13:J13"/>
    <mergeCell ref="B14:C14"/>
    <mergeCell ref="D14:E14"/>
    <mergeCell ref="H14:J14"/>
    <mergeCell ref="B11:C11"/>
    <mergeCell ref="D11:E11"/>
    <mergeCell ref="H11:J11"/>
    <mergeCell ref="B12:C12"/>
    <mergeCell ref="D12:E12"/>
    <mergeCell ref="H12:J12"/>
    <mergeCell ref="B9:C9"/>
    <mergeCell ref="D9:E9"/>
    <mergeCell ref="H9:J9"/>
    <mergeCell ref="B10:C10"/>
    <mergeCell ref="D10:E10"/>
    <mergeCell ref="H10:J10"/>
    <mergeCell ref="B7:C7"/>
    <mergeCell ref="D7:E7"/>
    <mergeCell ref="H7:J7"/>
    <mergeCell ref="B8:C8"/>
    <mergeCell ref="D8:E8"/>
    <mergeCell ref="H8:J8"/>
    <mergeCell ref="B5:C5"/>
    <mergeCell ref="D5:E5"/>
    <mergeCell ref="H5:J5"/>
    <mergeCell ref="B6:C6"/>
    <mergeCell ref="D6:E6"/>
    <mergeCell ref="H6:J6"/>
    <mergeCell ref="A1:K1"/>
    <mergeCell ref="C2:I2"/>
    <mergeCell ref="C3:E3"/>
    <mergeCell ref="G3:I3"/>
    <mergeCell ref="E4:G4"/>
    <mergeCell ref="H4:J4"/>
  </mergeCells>
  <conditionalFormatting sqref="H66:H103">
    <cfRule type="cellIs" dxfId="10" priority="10" operator="equal">
      <formula>"Y"</formula>
    </cfRule>
    <cfRule type="cellIs" dxfId="9" priority="11" operator="equal">
      <formula>"X"</formula>
    </cfRule>
  </conditionalFormatting>
  <conditionalFormatting sqref="I66:I103">
    <cfRule type="cellIs" dxfId="8" priority="8" operator="equal">
      <formula>"Y"</formula>
    </cfRule>
    <cfRule type="cellIs" dxfId="7" priority="9" operator="equal">
      <formula>"X"</formula>
    </cfRule>
  </conditionalFormatting>
  <conditionalFormatting sqref="J66:J103">
    <cfRule type="cellIs" dxfId="6" priority="5" operator="equal">
      <formula>"X"</formula>
    </cfRule>
    <cfRule type="cellIs" dxfId="5" priority="6" operator="equal">
      <formula>"YY"</formula>
    </cfRule>
    <cfRule type="cellIs" dxfId="4" priority="7" operator="equal">
      <formula>"Y"</formula>
    </cfRule>
  </conditionalFormatting>
  <conditionalFormatting sqref="J108">
    <cfRule type="cellIs" dxfId="3" priority="1" operator="equal">
      <formula>"A"</formula>
    </cfRule>
    <cfRule type="cellIs" dxfId="2" priority="2" operator="equal">
      <formula>"B"</formula>
    </cfRule>
    <cfRule type="cellIs" dxfId="1" priority="3" operator="equal">
      <formula>"C"</formula>
    </cfRule>
    <cfRule type="cellIs" dxfId="0" priority="4" operator="equal">
      <formula>"D"</formula>
    </cfRule>
  </conditionalFormatting>
  <hyperlinks>
    <hyperlink ref="K22" r:id="rId1" xr:uid="{25CFDDF6-4DCA-4DE9-A7AD-391D3DD791A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Acer</cp:lastModifiedBy>
  <dcterms:created xsi:type="dcterms:W3CDTF">2025-11-03T14:28:16Z</dcterms:created>
  <dcterms:modified xsi:type="dcterms:W3CDTF">2026-08-24T07:21:44Z</dcterms:modified>
</cp:coreProperties>
</file>