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DIP\OneDrive\Desktop\"/>
    </mc:Choice>
  </mc:AlternateContent>
  <bookViews>
    <workbookView xWindow="0" yWindow="0" windowWidth="19200" windowHeight="7300" tabRatio="841" firstSheet="1" activeTab="1"/>
  </bookViews>
  <sheets>
    <sheet name="Tax Rate FY 2082-83" sheetId="9" state="hidden" r:id="rId1"/>
    <sheet name=" Calculation -2082-83  " sheetId="11" r:id="rId2"/>
  </sheets>
  <definedNames>
    <definedName name="_xlnm.Print_Area" localSheetId="1">' Calculation -2082-83  '!$A$1:$H$71</definedName>
    <definedName name="_xlnm.Print_Area" localSheetId="0">'Tax Rate FY 2082-83'!$A$1:$J$10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11" l="1"/>
  <c r="G16" i="11"/>
  <c r="F12" i="11"/>
  <c r="F17" i="11"/>
  <c r="E17" i="11"/>
  <c r="G17" i="11"/>
  <c r="F19" i="11"/>
  <c r="D19" i="11"/>
  <c r="E19" i="11"/>
  <c r="G19" i="11"/>
  <c r="E20" i="11"/>
  <c r="G20" i="11"/>
  <c r="C22" i="11"/>
  <c r="E12" i="11"/>
  <c r="F7" i="11"/>
  <c r="F8" i="11"/>
  <c r="D22" i="11"/>
  <c r="E21" i="11"/>
  <c r="G21" i="11"/>
  <c r="G23" i="11"/>
  <c r="G24" i="11"/>
  <c r="G25" i="11"/>
  <c r="G26" i="11"/>
  <c r="G27" i="11"/>
  <c r="F28" i="11"/>
  <c r="E28" i="11"/>
  <c r="G28" i="11"/>
  <c r="F29" i="11"/>
  <c r="E29" i="11"/>
  <c r="G29" i="11"/>
  <c r="F30" i="11"/>
  <c r="E13" i="11"/>
  <c r="E30" i="11"/>
  <c r="G30" i="11"/>
  <c r="F31" i="11"/>
  <c r="E31" i="11"/>
  <c r="G31" i="11"/>
  <c r="G32" i="11"/>
  <c r="E35" i="11"/>
  <c r="F35" i="11"/>
  <c r="G35" i="11"/>
  <c r="E36" i="11"/>
  <c r="F36" i="11"/>
  <c r="G36" i="11"/>
  <c r="E37" i="11"/>
  <c r="F37" i="11"/>
  <c r="G37" i="11"/>
  <c r="E38" i="11"/>
  <c r="F38" i="11"/>
  <c r="G38" i="11"/>
  <c r="F39" i="11"/>
  <c r="G39" i="11"/>
  <c r="E40" i="11"/>
  <c r="F40" i="11"/>
  <c r="G40" i="11"/>
  <c r="F11" i="11"/>
  <c r="G41" i="11"/>
  <c r="G42" i="11"/>
  <c r="G43" i="11"/>
  <c r="G44" i="11"/>
  <c r="G45" i="11"/>
  <c r="G46" i="11"/>
  <c r="E11" i="11"/>
  <c r="E47" i="11"/>
  <c r="G47" i="11"/>
  <c r="G48" i="11"/>
  <c r="G49" i="11"/>
  <c r="H49" i="11"/>
  <c r="H35" i="11"/>
  <c r="F13" i="11"/>
  <c r="B69" i="11"/>
  <c r="B68" i="11"/>
  <c r="B66" i="11"/>
  <c r="G4" i="9"/>
  <c r="I4" i="9"/>
  <c r="G5" i="9"/>
  <c r="I5" i="9"/>
  <c r="G6" i="9"/>
  <c r="I6" i="9"/>
  <c r="G7" i="9"/>
  <c r="I7" i="9"/>
  <c r="G8" i="9"/>
  <c r="I8" i="9"/>
  <c r="I9" i="9"/>
  <c r="I10" i="9"/>
  <c r="B4" i="9"/>
  <c r="D4" i="9"/>
  <c r="B5" i="9"/>
  <c r="D5" i="9"/>
  <c r="B6" i="9"/>
  <c r="D6" i="9"/>
  <c r="B7" i="9"/>
  <c r="D7" i="9"/>
  <c r="B8" i="9"/>
  <c r="D8" i="9"/>
  <c r="D9" i="9"/>
  <c r="D10" i="9"/>
  <c r="G70" i="11"/>
  <c r="F10" i="11"/>
  <c r="D52" i="11"/>
  <c r="E10" i="11"/>
  <c r="B65" i="11"/>
  <c r="H47" i="11"/>
  <c r="B67" i="11"/>
  <c r="F41" i="11"/>
  <c r="E41" i="11"/>
  <c r="C16" i="11"/>
  <c r="C41" i="11"/>
  <c r="C52" i="11"/>
  <c r="E52" i="11"/>
  <c r="H52" i="11"/>
  <c r="G52" i="11"/>
  <c r="J4" i="9"/>
  <c r="E4" i="9"/>
  <c r="J5" i="9"/>
  <c r="J6" i="9"/>
  <c r="J7" i="9"/>
  <c r="J8" i="9"/>
  <c r="J9" i="9"/>
  <c r="E5" i="9"/>
  <c r="E6" i="9"/>
  <c r="E7" i="9"/>
  <c r="E8" i="9"/>
  <c r="E9" i="9"/>
  <c r="B64" i="11"/>
  <c r="G51" i="11"/>
  <c r="G53" i="11"/>
  <c r="C57" i="11"/>
  <c r="F57" i="11"/>
  <c r="E57" i="11"/>
  <c r="F58" i="11"/>
  <c r="G58" i="11"/>
  <c r="C58" i="11"/>
  <c r="E58" i="11"/>
  <c r="C59" i="11"/>
  <c r="G57" i="11"/>
  <c r="E59" i="11"/>
  <c r="C60" i="11"/>
  <c r="F59" i="11"/>
  <c r="H57" i="11"/>
  <c r="G59" i="11"/>
  <c r="F60" i="11"/>
  <c r="G60" i="11"/>
  <c r="E60" i="11"/>
  <c r="F61" i="11"/>
  <c r="C61" i="11"/>
  <c r="E61" i="11"/>
  <c r="F62" i="11"/>
  <c r="G62" i="11"/>
  <c r="G61" i="11"/>
  <c r="F63" i="11"/>
  <c r="C62" i="11"/>
  <c r="H58" i="11"/>
  <c r="B58" i="11"/>
  <c r="G63" i="11"/>
  <c r="H63" i="11"/>
  <c r="B57" i="11"/>
</calcChain>
</file>

<file path=xl/sharedStrings.xml><?xml version="1.0" encoding="utf-8"?>
<sst xmlns="http://schemas.openxmlformats.org/spreadsheetml/2006/main" count="157" uniqueCount="136">
  <si>
    <t>दम्पती</t>
  </si>
  <si>
    <t>प्रतिशत</t>
  </si>
  <si>
    <t>आम्दानी सम्म</t>
  </si>
  <si>
    <t>कर थप हुने रकम</t>
  </si>
  <si>
    <t>कर रकम</t>
  </si>
  <si>
    <t>जम्मा कर रकम</t>
  </si>
  <si>
    <t>ब्यक्ति</t>
  </si>
  <si>
    <t>दुर्गम क्षेत्रः</t>
  </si>
  <si>
    <t>कैफियत</t>
  </si>
  <si>
    <t>मासिक तलव</t>
  </si>
  <si>
    <t>चाडपर्व</t>
  </si>
  <si>
    <t>ग्रेड (बृद्धि हुनु अगाडी)</t>
  </si>
  <si>
    <t>दर</t>
  </si>
  <si>
    <t>ग्रेड (बृद्धि भएपछी)</t>
  </si>
  <si>
    <t>महंगी भत्ता</t>
  </si>
  <si>
    <t>पोषाक भत्ता</t>
  </si>
  <si>
    <t>ग्रेड संख्या</t>
  </si>
  <si>
    <t>तलव</t>
  </si>
  <si>
    <t>ग्रेड</t>
  </si>
  <si>
    <t>सञ्चय कोष (ग्रेड वृद्धि हुन अगाडी)</t>
  </si>
  <si>
    <t>सञ्चय कोष  (ग्रेड वृद्धि भएपश्चात)</t>
  </si>
  <si>
    <t>नागरिक लगानी कोष (ग्रेड वृद्धि हुन अगाडी)</t>
  </si>
  <si>
    <t>नागरिक लगानी कोष (ग्रेड वृद्धि भएपश्चात)</t>
  </si>
  <si>
    <t>(ग)</t>
  </si>
  <si>
    <t>(घ)</t>
  </si>
  <si>
    <t>(ङ)</t>
  </si>
  <si>
    <t>जम्मा कट्टी (Total Deduction) [ख]</t>
  </si>
  <si>
    <t>खुद आय (Assessable Income) [ग = क - ख]</t>
  </si>
  <si>
    <t>(च)</t>
  </si>
  <si>
    <t>करयोग्य आय (Taxable Income) [ङ = ग - घ]</t>
  </si>
  <si>
    <t>जम्मा भुक्तानी गर्नुपर्ने कर दायित्व</t>
  </si>
  <si>
    <t>कर दायित्वको गणना (Calculation of Tax Liability)</t>
  </si>
  <si>
    <t xml:space="preserve">* सेतो छाँया परेको भागमा मात्र विवरण भर्नुपर्नेछ । </t>
  </si>
  <si>
    <t>बीमा (सरकारी)</t>
  </si>
  <si>
    <t>वीमा सरकारी</t>
  </si>
  <si>
    <t>बीमा व्यक्तिगत</t>
  </si>
  <si>
    <t>अधिकतम २० हजार रुपैंया</t>
  </si>
  <si>
    <t>स्वास्थ्य विमा</t>
  </si>
  <si>
    <t>प्रविधिक ग्रेड (भएमा मात्र)</t>
  </si>
  <si>
    <t>मासिक रकम रु.</t>
  </si>
  <si>
    <t>सीमा</t>
  </si>
  <si>
    <t>बार्षिक लाग्ने कर</t>
  </si>
  <si>
    <t>बाँकी सीमा</t>
  </si>
  <si>
    <t>मासिक बुझाउनु पर्ने</t>
  </si>
  <si>
    <t>थप २०%</t>
  </si>
  <si>
    <t>थप १०%</t>
  </si>
  <si>
    <t>थप ३६%</t>
  </si>
  <si>
    <t>थप ३०%</t>
  </si>
  <si>
    <t>शुरु १ %</t>
  </si>
  <si>
    <t>अन्तिम ग्रेड संख्या ख्याल गर्नुपर्ने</t>
  </si>
  <si>
    <t xml:space="preserve">नोटः </t>
  </si>
  <si>
    <t>स्थानीय  (दुर्गम क्षेत्र) भत्ता</t>
  </si>
  <si>
    <t>जम्मा निर्धारणयोग्य आय रु.  [क]</t>
  </si>
  <si>
    <t>सेवाः</t>
  </si>
  <si>
    <t>समूहः</t>
  </si>
  <si>
    <t>श्रेणिः</t>
  </si>
  <si>
    <t>अधिकतम ५ हजार रुपैंया</t>
  </si>
  <si>
    <t>करदाताको स्वमित्वमा रहेको निजी भवनको बीमा (बार्षिक प्रिमियम)</t>
  </si>
  <si>
    <t>बैदेशिक भत्ताको ७५ प्रतिशत छुट</t>
  </si>
  <si>
    <t>अन्य छुट सुविधा (बैधानिक छुट सुविधा भएमा मात्र उल्लेख गर्ने)</t>
  </si>
  <si>
    <t>कानूनले प्रदान गरेका छुट सुविधा</t>
  </si>
  <si>
    <t>अपाङ्ग व्यक्तिले पाउने छुट सुविधा</t>
  </si>
  <si>
    <t>निवृत्तिभरण कोष (ग्रेड वृद्धि हुन अगाडी)</t>
  </si>
  <si>
    <t>निवृत्तिभरण कोष  (ग्रेड वृद्धि भएपश्चात)</t>
  </si>
  <si>
    <t>निवृत्तिभरण कोष भएमा मात्र (6%)</t>
  </si>
  <si>
    <t xml:space="preserve">  Request: Please use this calculator with caution! Take advice from your tax consultant!</t>
  </si>
  <si>
    <t>नामः</t>
  </si>
  <si>
    <t>पान नं.:</t>
  </si>
  <si>
    <t>पदः</t>
  </si>
  <si>
    <t>पारिवारिक अवस्थाः</t>
  </si>
  <si>
    <t>अपाङ्गताः</t>
  </si>
  <si>
    <t>चाडपर्व मान्ने महिनाः</t>
  </si>
  <si>
    <t>ग्रेड वृद्धि हुने महिनाः</t>
  </si>
  <si>
    <t>व्यक्तिगत तथा रोजगारी सम्बन्धी विवरण</t>
  </si>
  <si>
    <t>लिङ्गः</t>
  </si>
  <si>
    <t>बासिन्दा/गैरबासिन्दाः</t>
  </si>
  <si>
    <t>निवृत्तीभरण कोष (ग्रेड वृद्धि हुन अगाडी)</t>
  </si>
  <si>
    <t>निवृत्तीभरण कोष (ग्रेड वृद्धि भएपश्चात)</t>
  </si>
  <si>
    <t>एकल (Single)</t>
  </si>
  <si>
    <t>दम्पत्ति (Couple)</t>
  </si>
  <si>
    <t>पुरुष (Male)</t>
  </si>
  <si>
    <t>महिला (Female)</t>
  </si>
  <si>
    <t xml:space="preserve">लिङ्ग </t>
  </si>
  <si>
    <t>पारिवारिक अवस्था</t>
  </si>
  <si>
    <t>अपाङ्गता</t>
  </si>
  <si>
    <t>दुर्गम क्षेत्र</t>
  </si>
  <si>
    <t>क</t>
  </si>
  <si>
    <t>ख</t>
  </si>
  <si>
    <t>ग</t>
  </si>
  <si>
    <t>घ</t>
  </si>
  <si>
    <t>ङ</t>
  </si>
  <si>
    <t>महिना</t>
  </si>
  <si>
    <t>बैशाख</t>
  </si>
  <si>
    <t>जेठ</t>
  </si>
  <si>
    <t>आषाढ</t>
  </si>
  <si>
    <t>श्रावण</t>
  </si>
  <si>
    <t>भाद्र</t>
  </si>
  <si>
    <t>आश्विन</t>
  </si>
  <si>
    <t>कार्तिक</t>
  </si>
  <si>
    <t>मंसिर</t>
  </si>
  <si>
    <t>पौष</t>
  </si>
  <si>
    <t>माघ</t>
  </si>
  <si>
    <t>फाल्गुन</t>
  </si>
  <si>
    <t>चैत्र</t>
  </si>
  <si>
    <t>निवृत्तिभरण कट्टी हुने नहुने</t>
  </si>
  <si>
    <t>बासिन्दा/गैरबासिन्दा</t>
  </si>
  <si>
    <t>बासिन्दा</t>
  </si>
  <si>
    <t>गैर बासिन्दा</t>
  </si>
  <si>
    <t>अन्य</t>
  </si>
  <si>
    <t>रोजगारीको आयसम्बन्धी विवरण (Income from Employment)</t>
  </si>
  <si>
    <t>अन्य भत्ता (विविध प्रकारका भत्ताहरु छ भने यसमा जोडजम्मा गरेर राख्ने बार्षिक)</t>
  </si>
  <si>
    <t>कर छुट सुविधाहरु (Tax Exemption)</t>
  </si>
  <si>
    <t>बैदेशिक भत्तामा छुट बार्षिक (कुटनीतिक नियोगका कर्मचारीले प्राप्त गर्ने)</t>
  </si>
  <si>
    <t>अपाङ्ग हो</t>
  </si>
  <si>
    <t>अपाङ्ग होइन</t>
  </si>
  <si>
    <t>Template By: Prakash Gautam</t>
  </si>
  <si>
    <t>माथि उल्लेख गरिएका विवरणहरु तथा कर गणना गरिएको रकमहरु ठीक छन् । विवरणमा केही परिवर्तन गर्नुपर्ने भएमा वा मिलाउनु पर्ने देखिएमा हाल कार्यरत कार्यालयको लेखा शाखामा समयमै प्रमाण सहित लिखित जानकारी गराउनेछु ।</t>
  </si>
  <si>
    <t xml:space="preserve">लगानी बीमा अधिकतम 40 हजार </t>
  </si>
  <si>
    <t>छुट सीमा (Threshhold)</t>
  </si>
  <si>
    <t>निवृत्तिभरण कोष कट्टी नहुने</t>
  </si>
  <si>
    <t>निवृत्तिभरण कोष कट्टी हुने</t>
  </si>
  <si>
    <t>बर्गानुसार अधिकतम क=५०, ख=४०, ग=३०, घ=२०, ङ=१० हजार</t>
  </si>
  <si>
    <t xml:space="preserve">निवृत्तिभरण कोष कट्टी नहुने/हुनेः </t>
  </si>
  <si>
    <t>स्ल्याव</t>
  </si>
  <si>
    <t>मासिक स्ल्याव अनुसार</t>
  </si>
  <si>
    <t>५० लाख भन्दा बढी</t>
  </si>
  <si>
    <t>जस्तै १० लाख थप</t>
  </si>
  <si>
    <t>६० लाख करयोग्य आय हुनेले तिर्नुपर्ने जम्मा कर रकम रु.</t>
  </si>
  <si>
    <t>थप ३९%</t>
  </si>
  <si>
    <t>कर तथा TDS का लागि खुद रकम</t>
  </si>
  <si>
    <t>आ.ब.२०८२/८३ को रोजगारीको आयको कर गणना (Tax Calculation of Income from Employment)</t>
  </si>
  <si>
    <t>आ.व. २०८२।८३ मा प्राकृतिक व्यक्तिको आय कर गणना</t>
  </si>
  <si>
    <t>संघ/प्रदेश/स्थानीय तह</t>
  </si>
  <si>
    <t>मन्त्रालय/विभाग/निर्देशनालय</t>
  </si>
  <si>
    <t>कार्यालयको नाम</t>
  </si>
  <si>
    <t>सम्बन्धित व्यक्तिको नाम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</si>
</sst>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[$-4000439]0"/>
    <numFmt numFmtId="167" formatCode="[$-4000439]0%"/>
  </numFmts>
  <fonts count="4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ONTASY_ HIMALI_ TT"/>
      <family val="5"/>
    </font>
    <font>
      <sz val="16"/>
      <color theme="1"/>
      <name val="Utsaah"/>
      <family val="2"/>
    </font>
    <font>
      <b/>
      <sz val="16"/>
      <color theme="1"/>
      <name val="Utsaah"/>
      <family val="2"/>
    </font>
    <font>
      <b/>
      <sz val="10"/>
      <name val="Times New Roman"/>
      <family val="1"/>
    </font>
    <font>
      <b/>
      <sz val="14"/>
      <color rgb="FFFF0000"/>
      <name val="Utsaah"/>
      <family val="2"/>
    </font>
    <font>
      <b/>
      <i/>
      <sz val="16"/>
      <color theme="1"/>
      <name val="Utsaah"/>
      <family val="2"/>
    </font>
    <font>
      <b/>
      <sz val="10"/>
      <color rgb="FF002060"/>
      <name val="Kalimati"/>
      <charset val="1"/>
    </font>
    <font>
      <sz val="9"/>
      <color rgb="FFFF0000"/>
      <name val="Kalimati"/>
      <charset val="1"/>
    </font>
    <font>
      <b/>
      <sz val="9"/>
      <color rgb="FFFF0000"/>
      <name val="Kalimati"/>
      <charset val="1"/>
    </font>
    <font>
      <sz val="9"/>
      <color theme="1"/>
      <name val="Kalimati"/>
      <charset val="1"/>
    </font>
    <font>
      <b/>
      <sz val="8.5"/>
      <name val="Kalimati"/>
      <charset val="1"/>
    </font>
    <font>
      <b/>
      <sz val="8.5"/>
      <color rgb="FFFF0000"/>
      <name val="Kalimati"/>
      <charset val="1"/>
    </font>
    <font>
      <sz val="8.5"/>
      <name val="Kalimati"/>
      <charset val="1"/>
    </font>
    <font>
      <sz val="7"/>
      <color rgb="FF00B050"/>
      <name val="Kalimati"/>
      <charset val="1"/>
    </font>
    <font>
      <b/>
      <i/>
      <sz val="9"/>
      <color rgb="FF7030A0"/>
      <name val="Kalimati"/>
      <charset val="1"/>
    </font>
    <font>
      <sz val="8"/>
      <color theme="1"/>
      <name val="Kalimati"/>
      <charset val="1"/>
    </font>
    <font>
      <sz val="10"/>
      <color theme="1"/>
      <name val="Kalimati"/>
      <charset val="1"/>
    </font>
    <font>
      <sz val="11"/>
      <color theme="1"/>
      <name val="Kalimati"/>
      <charset val="1"/>
    </font>
    <font>
      <b/>
      <sz val="13"/>
      <color rgb="FF002060"/>
      <name val="Kalimati"/>
      <charset val="1"/>
    </font>
    <font>
      <sz val="9"/>
      <name val="Kalimati"/>
      <charset val="1"/>
    </font>
    <font>
      <b/>
      <i/>
      <sz val="10"/>
      <color theme="1"/>
      <name val="Kalimati"/>
      <charset val="1"/>
    </font>
    <font>
      <sz val="8"/>
      <color rgb="FF00B050"/>
      <name val="Kalimati"/>
      <charset val="1"/>
    </font>
    <font>
      <b/>
      <sz val="11"/>
      <color rgb="FF002060"/>
      <name val="Kalimati"/>
      <charset val="1"/>
    </font>
    <font>
      <sz val="11"/>
      <color rgb="FF002060"/>
      <name val="Kalimati"/>
      <charset val="1"/>
    </font>
    <font>
      <sz val="8"/>
      <name val="Kalimati"/>
      <charset val="1"/>
    </font>
    <font>
      <i/>
      <sz val="8"/>
      <color rgb="FFFF0000"/>
      <name val="Kalimati"/>
      <charset val="1"/>
    </font>
    <font>
      <sz val="8.5"/>
      <color theme="6" tint="0.79998168889431442"/>
      <name val="Kalimati"/>
      <charset val="1"/>
    </font>
    <font>
      <sz val="8"/>
      <color rgb="FFFF0000"/>
      <name val="Kalimati"/>
      <charset val="1"/>
    </font>
    <font>
      <b/>
      <sz val="14"/>
      <color rgb="FFFF0000"/>
      <name val="Kalimati"/>
      <charset val="1"/>
    </font>
    <font>
      <i/>
      <sz val="8"/>
      <color rgb="FF7030A0"/>
      <name val="Kalimati"/>
      <charset val="1"/>
    </font>
    <font>
      <i/>
      <sz val="8"/>
      <color rgb="FF002060"/>
      <name val="Kalimati"/>
      <charset val="1"/>
    </font>
    <font>
      <sz val="8"/>
      <color theme="9"/>
      <name val="Kalimati"/>
      <charset val="1"/>
    </font>
    <font>
      <b/>
      <i/>
      <sz val="9"/>
      <color theme="1"/>
      <name val="Kalimati"/>
      <charset val="1"/>
    </font>
    <font>
      <i/>
      <sz val="12"/>
      <color rgb="FFFF0000"/>
      <name val="Utsaah"/>
      <family val="2"/>
    </font>
    <font>
      <i/>
      <sz val="12"/>
      <color theme="9"/>
      <name val="Utsaah"/>
      <family val="2"/>
    </font>
    <font>
      <i/>
      <sz val="14"/>
      <color theme="9"/>
      <name val="Utsaah"/>
      <family val="2"/>
    </font>
    <font>
      <i/>
      <sz val="14"/>
      <color rgb="FFC00000"/>
      <name val="Utsaah"/>
      <family val="2"/>
    </font>
    <font>
      <b/>
      <i/>
      <sz val="9"/>
      <name val="Kalimati"/>
      <charset val="1"/>
    </font>
    <font>
      <b/>
      <i/>
      <sz val="9"/>
      <color theme="0"/>
      <name val="Kalimati"/>
      <charset val="1"/>
    </font>
    <font>
      <b/>
      <sz val="7.5"/>
      <color rgb="FFFF0000"/>
      <name val="Kalimati"/>
      <charset val="1"/>
    </font>
    <font>
      <sz val="11"/>
      <name val="FONTASY_ HIMALI_ TT"/>
      <family val="5"/>
    </font>
    <font>
      <b/>
      <sz val="20"/>
      <color rgb="FF002060"/>
      <name val="Utsaah"/>
      <family val="2"/>
    </font>
    <font>
      <sz val="10"/>
      <color rgb="FFFF0000"/>
      <name val="Kalimati"/>
      <charset val="1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ck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theme="8" tint="-0.24994659260841701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ck">
        <color theme="8" tint="-0.24994659260841701"/>
      </top>
      <bottom style="thin">
        <color indexed="64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/>
      <diagonal/>
    </border>
    <border>
      <left style="thin">
        <color indexed="64"/>
      </left>
      <right style="thick">
        <color theme="8" tint="-0.24994659260841701"/>
      </right>
      <top/>
      <bottom/>
      <diagonal/>
    </border>
    <border>
      <left style="thin">
        <color indexed="64"/>
      </left>
      <right style="thick">
        <color theme="8" tint="-0.24994659260841701"/>
      </right>
      <top/>
      <bottom style="thin">
        <color indexed="64"/>
      </bottom>
      <diagonal/>
    </border>
    <border>
      <left style="thick">
        <color theme="8" tint="-0.24994659260841701"/>
      </left>
      <right/>
      <top style="thin">
        <color indexed="64"/>
      </top>
      <bottom style="thick">
        <color theme="8" tint="-0.24994659260841701"/>
      </bottom>
      <diagonal/>
    </border>
    <border>
      <left/>
      <right/>
      <top style="thin">
        <color indexed="64"/>
      </top>
      <bottom style="thick">
        <color theme="8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8" tint="-0.24994659260841701"/>
      </bottom>
      <diagonal/>
    </border>
    <border>
      <left style="thin">
        <color indexed="64"/>
      </left>
      <right style="thin">
        <color indexed="64"/>
      </right>
      <top/>
      <bottom style="thick">
        <color theme="8" tint="-0.24994659260841701"/>
      </bottom>
      <diagonal/>
    </border>
    <border>
      <left style="thin">
        <color indexed="64"/>
      </left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indexed="64"/>
      </right>
      <top style="thin">
        <color indexed="64"/>
      </top>
      <bottom style="thick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8" tint="-0.24994659260841701"/>
      </bottom>
      <diagonal/>
    </border>
    <border>
      <left style="thin">
        <color indexed="64"/>
      </left>
      <right style="thick">
        <color theme="8" tint="-0.24994659260841701"/>
      </right>
      <top style="thin">
        <color indexed="64"/>
      </top>
      <bottom style="thick">
        <color theme="8" tint="-0.24994659260841701"/>
      </bottom>
      <diagonal/>
    </border>
    <border>
      <left style="thick">
        <color theme="8" tint="-0.24994659260841701"/>
      </left>
      <right style="hair">
        <color indexed="64"/>
      </right>
      <top/>
      <bottom style="thick">
        <color theme="8" tint="-0.24994659260841701"/>
      </bottom>
      <diagonal/>
    </border>
    <border>
      <left style="hair">
        <color indexed="64"/>
      </left>
      <right style="hair">
        <color indexed="64"/>
      </right>
      <top/>
      <bottom style="thick">
        <color theme="8" tint="-0.24994659260841701"/>
      </bottom>
      <diagonal/>
    </border>
    <border>
      <left style="hair">
        <color indexed="64"/>
      </left>
      <right style="thick">
        <color theme="8" tint="-0.24994659260841701"/>
      </right>
      <top/>
      <bottom style="thick">
        <color theme="8" tint="-0.24994659260841701"/>
      </bottom>
      <diagonal/>
    </border>
    <border>
      <left style="thick">
        <color theme="8" tint="-0.24994659260841701"/>
      </left>
      <right style="hair">
        <color indexed="64"/>
      </right>
      <top style="thick">
        <color theme="8" tint="-0.2499465926084170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8" tint="-0.24994659260841701"/>
      </top>
      <bottom style="hair">
        <color indexed="64"/>
      </bottom>
      <diagonal/>
    </border>
    <border>
      <left style="hair">
        <color indexed="64"/>
      </left>
      <right style="thick">
        <color theme="8" tint="-0.24994659260841701"/>
      </right>
      <top style="thick">
        <color theme="8" tint="-0.24994659260841701"/>
      </top>
      <bottom style="hair">
        <color indexed="64"/>
      </bottom>
      <diagonal/>
    </border>
    <border>
      <left style="thick">
        <color theme="8" tint="-0.24994659260841701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theme="8" tint="-0.24994659260841701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ck">
        <color theme="8" tint="-0.24994659260841701"/>
      </top>
      <bottom style="hair">
        <color indexed="64"/>
      </bottom>
      <diagonal/>
    </border>
    <border>
      <left/>
      <right style="hair">
        <color indexed="64"/>
      </right>
      <top style="thick">
        <color theme="8" tint="-0.24994659260841701"/>
      </top>
      <bottom style="hair">
        <color indexed="64"/>
      </bottom>
      <diagonal/>
    </border>
    <border>
      <left style="thick">
        <color theme="8" tint="-0.24994659260841701"/>
      </left>
      <right style="hair">
        <color indexed="64"/>
      </right>
      <top style="hair">
        <color indexed="64"/>
      </top>
      <bottom style="thick">
        <color theme="8" tint="-0.2499465926084170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ck">
        <color theme="8" tint="-0.24994659260841701"/>
      </bottom>
      <diagonal/>
    </border>
    <border>
      <left style="hair">
        <color indexed="64"/>
      </left>
      <right/>
      <top style="hair">
        <color indexed="64"/>
      </top>
      <bottom style="thick">
        <color theme="8" tint="-0.24994659260841701"/>
      </bottom>
      <diagonal/>
    </border>
    <border>
      <left/>
      <right style="hair">
        <color indexed="64"/>
      </right>
      <top style="hair">
        <color indexed="64"/>
      </top>
      <bottom style="thick">
        <color theme="8" tint="-0.24994659260841701"/>
      </bottom>
      <diagonal/>
    </border>
    <border>
      <left style="hair">
        <color indexed="64"/>
      </left>
      <right style="thick">
        <color theme="8" tint="-0.24994659260841701"/>
      </right>
      <top style="hair">
        <color indexed="64"/>
      </top>
      <bottom style="thick">
        <color theme="8" tint="-0.24994659260841701"/>
      </bottom>
      <diagonal/>
    </border>
    <border>
      <left style="thick">
        <color theme="8" tint="-0.24994659260841701"/>
      </left>
      <right style="thin">
        <color indexed="64"/>
      </right>
      <top style="thick">
        <color theme="8" tint="-0.24994659260841701"/>
      </top>
      <bottom style="thick">
        <color theme="8" tint="-0.24994659260841701"/>
      </bottom>
      <diagonal/>
    </border>
    <border>
      <left style="thin">
        <color indexed="64"/>
      </left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 style="thick">
        <color theme="8" tint="-0.24994659260841701"/>
      </right>
      <top style="thick">
        <color theme="8" tint="-0.24994659260841701"/>
      </top>
      <bottom style="thick">
        <color theme="8" tint="-0.24994659260841701"/>
      </bottom>
      <diagonal/>
    </border>
    <border>
      <left/>
      <right style="medium">
        <color indexed="64"/>
      </right>
      <top/>
      <bottom/>
      <diagonal/>
    </border>
    <border>
      <left style="thick">
        <color theme="8" tint="-0.24994659260841701"/>
      </left>
      <right/>
      <top style="thick">
        <color theme="8" tint="-0.24994659260841701"/>
      </top>
      <bottom/>
      <diagonal/>
    </border>
    <border>
      <left/>
      <right/>
      <top style="thick">
        <color theme="8" tint="-0.24994659260841701"/>
      </top>
      <bottom/>
      <diagonal/>
    </border>
    <border>
      <left/>
      <right style="thick">
        <color theme="8" tint="-0.24994659260841701"/>
      </right>
      <top style="thick">
        <color theme="8" tint="-0.24994659260841701"/>
      </top>
      <bottom/>
      <diagonal/>
    </border>
    <border>
      <left style="thick">
        <color theme="8" tint="-0.24994659260841701"/>
      </left>
      <right/>
      <top/>
      <bottom style="thick">
        <color theme="8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 style="thick">
        <color theme="8" tint="-0.24994659260841701"/>
      </right>
      <top/>
      <bottom style="thick">
        <color theme="8" tint="-0.24994659260841701"/>
      </bottom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hair">
        <color rgb="FF0070C0"/>
      </right>
      <top style="medium">
        <color rgb="FF0070C0"/>
      </top>
      <bottom style="medium">
        <color rgb="FF0070C0"/>
      </bottom>
      <diagonal/>
    </border>
    <border>
      <left style="hair">
        <color rgb="FF0070C0"/>
      </left>
      <right style="hair">
        <color rgb="FF0070C0"/>
      </right>
      <top style="medium">
        <color rgb="FF0070C0"/>
      </top>
      <bottom style="medium">
        <color rgb="FF0070C0"/>
      </bottom>
      <diagonal/>
    </border>
    <border>
      <left style="hair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43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2" borderId="9" xfId="1" applyFont="1" applyFill="1" applyBorder="1" applyAlignment="1">
      <alignment vertical="center"/>
    </xf>
    <xf numFmtId="43" fontId="2" fillId="2" borderId="1" xfId="1" applyFont="1" applyFill="1" applyBorder="1" applyAlignment="1">
      <alignment vertical="center"/>
    </xf>
    <xf numFmtId="164" fontId="2" fillId="2" borderId="1" xfId="1" applyNumberFormat="1" applyFont="1" applyFill="1" applyBorder="1" applyAlignment="1">
      <alignment vertical="center"/>
    </xf>
    <xf numFmtId="43" fontId="2" fillId="2" borderId="10" xfId="1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3" fontId="7" fillId="0" borderId="0" xfId="1" applyFont="1" applyAlignment="1">
      <alignment vertical="center"/>
    </xf>
    <xf numFmtId="166" fontId="21" fillId="0" borderId="16" xfId="0" applyNumberFormat="1" applyFont="1" applyBorder="1" applyAlignment="1" applyProtection="1">
      <alignment horizontal="center" vertical="center"/>
      <protection locked="0"/>
    </xf>
    <xf numFmtId="43" fontId="21" fillId="0" borderId="16" xfId="1" applyFont="1" applyFill="1" applyBorder="1" applyAlignment="1" applyProtection="1">
      <alignment vertical="center"/>
      <protection locked="0"/>
    </xf>
    <xf numFmtId="43" fontId="9" fillId="0" borderId="16" xfId="1" applyFont="1" applyFill="1" applyBorder="1" applyAlignment="1" applyProtection="1">
      <alignment vertical="center"/>
      <protection locked="0"/>
    </xf>
    <xf numFmtId="43" fontId="21" fillId="0" borderId="16" xfId="1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4" fillId="7" borderId="0" xfId="0" applyFont="1" applyFill="1" applyAlignment="1">
      <alignment vertical="center"/>
    </xf>
    <xf numFmtId="0" fontId="25" fillId="7" borderId="0" xfId="0" applyFont="1" applyFill="1" applyAlignment="1">
      <alignment vertical="center"/>
    </xf>
    <xf numFmtId="0" fontId="19" fillId="7" borderId="0" xfId="0" applyFont="1" applyFill="1" applyAlignment="1">
      <alignment vertical="center"/>
    </xf>
    <xf numFmtId="166" fontId="9" fillId="8" borderId="16" xfId="0" applyNumberFormat="1" applyFont="1" applyFill="1" applyBorder="1" applyAlignment="1" applyProtection="1">
      <alignment horizontal="center" vertical="center"/>
      <protection locked="0"/>
    </xf>
    <xf numFmtId="43" fontId="21" fillId="8" borderId="16" xfId="1" applyFont="1" applyFill="1" applyBorder="1" applyAlignment="1">
      <alignment vertical="center"/>
    </xf>
    <xf numFmtId="0" fontId="21" fillId="8" borderId="16" xfId="0" applyFont="1" applyFill="1" applyBorder="1" applyAlignment="1">
      <alignment horizontal="right" vertical="center"/>
    </xf>
    <xf numFmtId="166" fontId="21" fillId="8" borderId="16" xfId="0" applyNumberFormat="1" applyFont="1" applyFill="1" applyBorder="1" applyAlignment="1" applyProtection="1">
      <alignment horizontal="center" vertical="center"/>
      <protection locked="0"/>
    </xf>
    <xf numFmtId="0" fontId="21" fillId="8" borderId="16" xfId="0" applyFont="1" applyFill="1" applyBorder="1" applyAlignment="1" applyProtection="1">
      <alignment horizontal="center" vertical="center"/>
      <protection locked="0"/>
    </xf>
    <xf numFmtId="0" fontId="21" fillId="8" borderId="16" xfId="0" applyFont="1" applyFill="1" applyBorder="1" applyAlignment="1">
      <alignment horizontal="left" vertical="center"/>
    </xf>
    <xf numFmtId="0" fontId="21" fillId="8" borderId="16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43" fontId="14" fillId="8" borderId="16" xfId="0" applyNumberFormat="1" applyFont="1" applyFill="1" applyBorder="1" applyAlignment="1">
      <alignment vertical="center"/>
    </xf>
    <xf numFmtId="165" fontId="14" fillId="8" borderId="16" xfId="0" applyNumberFormat="1" applyFont="1" applyFill="1" applyBorder="1" applyAlignment="1">
      <alignment vertical="center"/>
    </xf>
    <xf numFmtId="0" fontId="14" fillId="8" borderId="16" xfId="0" applyFont="1" applyFill="1" applyBorder="1" applyAlignment="1">
      <alignment horizontal="center" vertical="center"/>
    </xf>
    <xf numFmtId="43" fontId="14" fillId="8" borderId="16" xfId="1" applyFont="1" applyFill="1" applyBorder="1" applyAlignment="1">
      <alignment vertical="center"/>
    </xf>
    <xf numFmtId="0" fontId="14" fillId="8" borderId="16" xfId="0" applyFont="1" applyFill="1" applyBorder="1" applyAlignment="1" applyProtection="1">
      <alignment horizontal="center" vertical="center"/>
      <protection locked="0"/>
    </xf>
    <xf numFmtId="166" fontId="14" fillId="8" borderId="16" xfId="0" applyNumberFormat="1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43" fontId="14" fillId="8" borderId="1" xfId="1" applyFont="1" applyFill="1" applyBorder="1" applyAlignment="1">
      <alignment vertical="center"/>
    </xf>
    <xf numFmtId="43" fontId="28" fillId="8" borderId="1" xfId="1" applyFont="1" applyFill="1" applyBorder="1" applyAlignment="1" applyProtection="1">
      <alignment vertical="center"/>
      <protection hidden="1"/>
    </xf>
    <xf numFmtId="166" fontId="12" fillId="8" borderId="1" xfId="0" applyNumberFormat="1" applyFont="1" applyFill="1" applyBorder="1" applyAlignment="1">
      <alignment horizontal="center" vertical="center"/>
    </xf>
    <xf numFmtId="166" fontId="13" fillId="8" borderId="1" xfId="0" applyNumberFormat="1" applyFont="1" applyFill="1" applyBorder="1" applyAlignment="1">
      <alignment horizontal="left" vertical="center"/>
    </xf>
    <xf numFmtId="43" fontId="12" fillId="8" borderId="1" xfId="0" applyNumberFormat="1" applyFont="1" applyFill="1" applyBorder="1" applyAlignment="1">
      <alignment horizontal="center" vertical="center"/>
    </xf>
    <xf numFmtId="43" fontId="12" fillId="8" borderId="1" xfId="1" applyFont="1" applyFill="1" applyBorder="1" applyAlignment="1" applyProtection="1">
      <alignment horizontal="center" vertical="center"/>
    </xf>
    <xf numFmtId="43" fontId="14" fillId="8" borderId="1" xfId="0" applyNumberFormat="1" applyFont="1" applyFill="1" applyBorder="1" applyAlignment="1">
      <alignment horizontal="right" vertical="center"/>
    </xf>
    <xf numFmtId="167" fontId="14" fillId="8" borderId="1" xfId="0" applyNumberFormat="1" applyFont="1" applyFill="1" applyBorder="1" applyAlignment="1">
      <alignment horizontal="center" vertical="center"/>
    </xf>
    <xf numFmtId="43" fontId="14" fillId="8" borderId="1" xfId="0" applyNumberFormat="1" applyFont="1" applyFill="1" applyBorder="1" applyAlignment="1">
      <alignment vertical="center"/>
    </xf>
    <xf numFmtId="43" fontId="14" fillId="8" borderId="1" xfId="1" applyFont="1" applyFill="1" applyBorder="1" applyAlignment="1" applyProtection="1">
      <alignment horizontal="center" vertical="center"/>
    </xf>
    <xf numFmtId="0" fontId="19" fillId="0" borderId="0" xfId="0" applyFont="1"/>
    <xf numFmtId="0" fontId="10" fillId="5" borderId="20" xfId="0" applyFont="1" applyFill="1" applyBorder="1" applyAlignment="1">
      <alignment horizontal="center" vertical="center"/>
    </xf>
    <xf numFmtId="166" fontId="12" fillId="8" borderId="23" xfId="0" applyNumberFormat="1" applyFont="1" applyFill="1" applyBorder="1" applyAlignment="1">
      <alignment horizontal="center" vertical="center"/>
    </xf>
    <xf numFmtId="0" fontId="13" fillId="8" borderId="24" xfId="0" applyFont="1" applyFill="1" applyBorder="1" applyAlignment="1">
      <alignment horizontal="center" vertical="center"/>
    </xf>
    <xf numFmtId="166" fontId="14" fillId="8" borderId="23" xfId="0" applyNumberFormat="1" applyFont="1" applyFill="1" applyBorder="1" applyAlignment="1">
      <alignment horizontal="center" vertical="center"/>
    </xf>
    <xf numFmtId="43" fontId="13" fillId="8" borderId="24" xfId="1" applyFont="1" applyFill="1" applyBorder="1" applyAlignment="1" applyProtection="1">
      <alignment horizontal="center" vertical="center"/>
    </xf>
    <xf numFmtId="43" fontId="10" fillId="5" borderId="31" xfId="0" applyNumberFormat="1" applyFont="1" applyFill="1" applyBorder="1" applyAlignment="1">
      <alignment vertical="center"/>
    </xf>
    <xf numFmtId="43" fontId="10" fillId="5" borderId="32" xfId="0" applyNumberFormat="1" applyFont="1" applyFill="1" applyBorder="1" applyAlignment="1">
      <alignment vertical="center"/>
    </xf>
    <xf numFmtId="43" fontId="14" fillId="8" borderId="16" xfId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left" vertical="center"/>
    </xf>
    <xf numFmtId="0" fontId="10" fillId="6" borderId="20" xfId="0" applyFont="1" applyFill="1" applyBorder="1" applyAlignment="1">
      <alignment horizontal="center" vertical="center"/>
    </xf>
    <xf numFmtId="43" fontId="10" fillId="6" borderId="21" xfId="1" applyFont="1" applyFill="1" applyBorder="1" applyAlignment="1">
      <alignment vertical="center"/>
    </xf>
    <xf numFmtId="43" fontId="11" fillId="6" borderId="22" xfId="0" applyNumberFormat="1" applyFont="1" applyFill="1" applyBorder="1"/>
    <xf numFmtId="0" fontId="6" fillId="8" borderId="23" xfId="0" applyFont="1" applyFill="1" applyBorder="1" applyAlignment="1">
      <alignment horizontal="center" vertical="center"/>
    </xf>
    <xf numFmtId="43" fontId="15" fillId="8" borderId="24" xfId="1" applyFont="1" applyFill="1" applyBorder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/>
    </xf>
    <xf numFmtId="43" fontId="10" fillId="6" borderId="34" xfId="1" applyFont="1" applyFill="1" applyBorder="1" applyAlignment="1">
      <alignment vertical="center"/>
    </xf>
    <xf numFmtId="43" fontId="10" fillId="6" borderId="37" xfId="1" applyFont="1" applyFill="1" applyBorder="1" applyAlignment="1">
      <alignment vertical="center"/>
    </xf>
    <xf numFmtId="43" fontId="15" fillId="6" borderId="38" xfId="1" applyFont="1" applyFill="1" applyBorder="1" applyAlignment="1">
      <alignment horizontal="center" vertical="center" wrapText="1"/>
    </xf>
    <xf numFmtId="43" fontId="14" fillId="8" borderId="40" xfId="0" applyNumberFormat="1" applyFont="1" applyFill="1" applyBorder="1" applyAlignment="1">
      <alignment vertical="center"/>
    </xf>
    <xf numFmtId="0" fontId="14" fillId="8" borderId="40" xfId="0" applyFont="1" applyFill="1" applyBorder="1" applyAlignment="1">
      <alignment horizontal="center" vertical="center"/>
    </xf>
    <xf numFmtId="43" fontId="14" fillId="8" borderId="40" xfId="1" applyFont="1" applyFill="1" applyBorder="1" applyAlignment="1">
      <alignment vertical="center"/>
    </xf>
    <xf numFmtId="166" fontId="21" fillId="8" borderId="42" xfId="0" applyNumberFormat="1" applyFont="1" applyFill="1" applyBorder="1" applyAlignment="1">
      <alignment horizontal="center" vertical="center"/>
    </xf>
    <xf numFmtId="0" fontId="15" fillId="8" borderId="43" xfId="0" applyFont="1" applyFill="1" applyBorder="1" applyAlignment="1">
      <alignment horizontal="center" vertical="center" wrapText="1"/>
    </xf>
    <xf numFmtId="0" fontId="15" fillId="8" borderId="43" xfId="0" applyFont="1" applyFill="1" applyBorder="1" applyAlignment="1">
      <alignment horizontal="center" vertical="center"/>
    </xf>
    <xf numFmtId="166" fontId="21" fillId="8" borderId="39" xfId="0" applyNumberFormat="1" applyFont="1" applyFill="1" applyBorder="1" applyAlignment="1">
      <alignment horizontal="center" vertical="center"/>
    </xf>
    <xf numFmtId="0" fontId="21" fillId="8" borderId="40" xfId="0" applyFont="1" applyFill="1" applyBorder="1" applyAlignment="1">
      <alignment vertical="center"/>
    </xf>
    <xf numFmtId="0" fontId="21" fillId="8" borderId="40" xfId="0" applyFont="1" applyFill="1" applyBorder="1" applyAlignment="1">
      <alignment horizontal="center" vertical="center"/>
    </xf>
    <xf numFmtId="43" fontId="21" fillId="8" borderId="40" xfId="1" applyFont="1" applyFill="1" applyBorder="1" applyAlignment="1">
      <alignment vertical="center"/>
    </xf>
    <xf numFmtId="0" fontId="8" fillId="8" borderId="41" xfId="0" applyFont="1" applyFill="1" applyBorder="1" applyAlignment="1" applyProtection="1">
      <alignment horizontal="center" vertical="center"/>
      <protection hidden="1"/>
    </xf>
    <xf numFmtId="0" fontId="23" fillId="8" borderId="43" xfId="0" applyFont="1" applyFill="1" applyBorder="1" applyAlignment="1">
      <alignment horizontal="center" vertical="center"/>
    </xf>
    <xf numFmtId="0" fontId="23" fillId="8" borderId="43" xfId="0" applyFont="1" applyFill="1" applyBorder="1" applyAlignment="1">
      <alignment vertical="center"/>
    </xf>
    <xf numFmtId="43" fontId="10" fillId="6" borderId="37" xfId="0" applyNumberFormat="1" applyFont="1" applyFill="1" applyBorder="1" applyAlignment="1">
      <alignment vertical="center"/>
    </xf>
    <xf numFmtId="0" fontId="29" fillId="6" borderId="38" xfId="0" applyFont="1" applyFill="1" applyBorder="1" applyAlignment="1">
      <alignment vertical="center"/>
    </xf>
    <xf numFmtId="43" fontId="21" fillId="8" borderId="47" xfId="1" applyFont="1" applyFill="1" applyBorder="1" applyAlignment="1">
      <alignment vertical="center"/>
    </xf>
    <xf numFmtId="0" fontId="21" fillId="8" borderId="47" xfId="0" applyFont="1" applyFill="1" applyBorder="1" applyAlignment="1">
      <alignment horizontal="center" vertical="center"/>
    </xf>
    <xf numFmtId="166" fontId="21" fillId="8" borderId="46" xfId="0" applyNumberFormat="1" applyFont="1" applyFill="1" applyBorder="1" applyAlignment="1">
      <alignment horizontal="center" vertical="center"/>
    </xf>
    <xf numFmtId="0" fontId="21" fillId="8" borderId="47" xfId="0" applyFont="1" applyFill="1" applyBorder="1" applyAlignment="1">
      <alignment horizontal="left" vertical="center"/>
    </xf>
    <xf numFmtId="43" fontId="21" fillId="0" borderId="47" xfId="1" applyFont="1" applyFill="1" applyBorder="1" applyAlignment="1" applyProtection="1">
      <alignment horizontal="center" vertical="center" wrapText="1"/>
      <protection locked="0"/>
    </xf>
    <xf numFmtId="166" fontId="14" fillId="8" borderId="47" xfId="0" applyNumberFormat="1" applyFont="1" applyFill="1" applyBorder="1" applyAlignment="1">
      <alignment horizontal="center" vertical="center"/>
    </xf>
    <xf numFmtId="43" fontId="14" fillId="8" borderId="47" xfId="1" applyFont="1" applyFill="1" applyBorder="1" applyAlignment="1">
      <alignment vertical="center"/>
    </xf>
    <xf numFmtId="0" fontId="15" fillId="8" borderId="5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left" vertical="center"/>
    </xf>
    <xf numFmtId="0" fontId="10" fillId="3" borderId="51" xfId="0" applyFont="1" applyFill="1" applyBorder="1" applyAlignment="1">
      <alignment horizontal="right" vertical="center"/>
    </xf>
    <xf numFmtId="0" fontId="11" fillId="8" borderId="40" xfId="0" applyFont="1" applyFill="1" applyBorder="1" applyAlignment="1">
      <alignment horizontal="right" vertical="center"/>
    </xf>
    <xf numFmtId="166" fontId="34" fillId="0" borderId="41" xfId="0" applyNumberFormat="1" applyFont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>
      <alignment horizontal="right" vertical="center"/>
    </xf>
    <xf numFmtId="0" fontId="34" fillId="0" borderId="43" xfId="0" applyFont="1" applyBorder="1" applyAlignment="1" applyProtection="1">
      <alignment horizontal="left" vertical="center"/>
      <protection locked="0"/>
    </xf>
    <xf numFmtId="0" fontId="11" fillId="8" borderId="47" xfId="0" applyFont="1" applyFill="1" applyBorder="1" applyAlignment="1">
      <alignment horizontal="right" vertical="center"/>
    </xf>
    <xf numFmtId="0" fontId="34" fillId="0" borderId="50" xfId="0" applyFont="1" applyBorder="1" applyAlignment="1" applyProtection="1">
      <alignment horizontal="left" vertical="center"/>
      <protection locked="0"/>
    </xf>
    <xf numFmtId="0" fontId="18" fillId="7" borderId="56" xfId="0" applyFont="1" applyFill="1" applyBorder="1" applyAlignment="1">
      <alignment horizontal="right" vertical="center"/>
    </xf>
    <xf numFmtId="0" fontId="18" fillId="7" borderId="57" xfId="0" applyFont="1" applyFill="1" applyBorder="1" applyAlignment="1">
      <alignment horizontal="right" vertical="center"/>
    </xf>
    <xf numFmtId="0" fontId="22" fillId="7" borderId="57" xfId="0" applyFont="1" applyFill="1" applyBorder="1" applyAlignment="1">
      <alignment horizontal="left" vertical="center"/>
    </xf>
    <xf numFmtId="0" fontId="22" fillId="7" borderId="57" xfId="0" applyFont="1" applyFill="1" applyBorder="1" applyAlignment="1">
      <alignment horizontal="center" vertical="center"/>
    </xf>
    <xf numFmtId="166" fontId="22" fillId="7" borderId="57" xfId="0" applyNumberFormat="1" applyFont="1" applyFill="1" applyBorder="1" applyAlignment="1">
      <alignment horizontal="center" vertical="center"/>
    </xf>
    <xf numFmtId="0" fontId="18" fillId="7" borderId="58" xfId="0" applyFont="1" applyFill="1" applyBorder="1" applyAlignment="1">
      <alignment horizontal="right" vertical="center"/>
    </xf>
    <xf numFmtId="0" fontId="24" fillId="7" borderId="59" xfId="0" applyFont="1" applyFill="1" applyBorder="1" applyAlignment="1">
      <alignment vertical="center"/>
    </xf>
    <xf numFmtId="0" fontId="25" fillId="7" borderId="60" xfId="0" applyFont="1" applyFill="1" applyBorder="1" applyAlignment="1">
      <alignment vertical="center"/>
    </xf>
    <xf numFmtId="0" fontId="25" fillId="7" borderId="61" xfId="0" applyFont="1" applyFill="1" applyBorder="1" applyAlignment="1">
      <alignment vertical="center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center" wrapText="1"/>
    </xf>
    <xf numFmtId="0" fontId="27" fillId="0" borderId="62" xfId="0" applyFont="1" applyBorder="1" applyAlignment="1">
      <alignment vertical="top" wrapText="1"/>
    </xf>
    <xf numFmtId="0" fontId="33" fillId="3" borderId="63" xfId="0" applyFont="1" applyFill="1" applyBorder="1" applyAlignment="1">
      <alignment vertical="center"/>
    </xf>
    <xf numFmtId="0" fontId="33" fillId="3" borderId="64" xfId="0" applyFont="1" applyFill="1" applyBorder="1" applyAlignment="1">
      <alignment vertical="center"/>
    </xf>
    <xf numFmtId="0" fontId="36" fillId="3" borderId="64" xfId="0" applyFont="1" applyFill="1" applyBorder="1" applyAlignment="1">
      <alignment vertical="center"/>
    </xf>
    <xf numFmtId="0" fontId="37" fillId="3" borderId="64" xfId="0" applyFont="1" applyFill="1" applyBorder="1" applyAlignment="1">
      <alignment vertical="center"/>
    </xf>
    <xf numFmtId="0" fontId="38" fillId="3" borderId="64" xfId="0" applyFont="1" applyFill="1" applyBorder="1" applyAlignment="1">
      <alignment vertical="center"/>
    </xf>
    <xf numFmtId="0" fontId="35" fillId="3" borderId="65" xfId="0" applyFont="1" applyFill="1" applyBorder="1" applyAlignment="1">
      <alignment horizontal="right" vertical="center"/>
    </xf>
    <xf numFmtId="43" fontId="21" fillId="0" borderId="40" xfId="1" applyFont="1" applyFill="1" applyBorder="1" applyAlignment="1" applyProtection="1">
      <alignment vertical="center"/>
      <protection locked="0"/>
    </xf>
    <xf numFmtId="0" fontId="21" fillId="6" borderId="35" xfId="0" applyFont="1" applyFill="1" applyBorder="1" applyAlignment="1">
      <alignment horizontal="center"/>
    </xf>
    <xf numFmtId="0" fontId="27" fillId="0" borderId="66" xfId="0" applyFont="1" applyBorder="1" applyAlignment="1">
      <alignment horizontal="center" vertical="center" wrapText="1"/>
    </xf>
    <xf numFmtId="0" fontId="32" fillId="0" borderId="68" xfId="0" applyFont="1" applyBorder="1" applyAlignment="1">
      <alignment wrapText="1"/>
    </xf>
    <xf numFmtId="0" fontId="17" fillId="0" borderId="69" xfId="0" applyFont="1" applyBorder="1" applyAlignment="1">
      <alignment vertical="center"/>
    </xf>
    <xf numFmtId="0" fontId="40" fillId="8" borderId="40" xfId="0" applyFont="1" applyFill="1" applyBorder="1" applyAlignment="1">
      <alignment horizontal="center" vertical="center"/>
    </xf>
    <xf numFmtId="0" fontId="40" fillId="8" borderId="16" xfId="0" applyFont="1" applyFill="1" applyBorder="1" applyAlignment="1">
      <alignment horizontal="center" vertical="center"/>
    </xf>
    <xf numFmtId="166" fontId="40" fillId="8" borderId="16" xfId="0" applyNumberFormat="1" applyFont="1" applyFill="1" applyBorder="1" applyAlignment="1">
      <alignment horizontal="center" vertical="center"/>
    </xf>
    <xf numFmtId="0" fontId="40" fillId="8" borderId="47" xfId="0" applyFont="1" applyFill="1" applyBorder="1" applyAlignment="1">
      <alignment horizontal="center" vertical="center"/>
    </xf>
    <xf numFmtId="166" fontId="40" fillId="8" borderId="47" xfId="0" applyNumberFormat="1" applyFont="1" applyFill="1" applyBorder="1" applyAlignment="1">
      <alignment horizontal="center" vertical="center"/>
    </xf>
    <xf numFmtId="43" fontId="14" fillId="8" borderId="16" xfId="1" applyFont="1" applyFill="1" applyBorder="1" applyAlignment="1" applyProtection="1">
      <alignment vertical="center"/>
    </xf>
    <xf numFmtId="0" fontId="41" fillId="8" borderId="1" xfId="0" applyFont="1" applyFill="1" applyBorder="1" applyAlignment="1">
      <alignment horizontal="center" vertical="center"/>
    </xf>
    <xf numFmtId="43" fontId="42" fillId="2" borderId="1" xfId="1" applyFont="1" applyFill="1" applyBorder="1" applyAlignment="1">
      <alignment vertical="center"/>
    </xf>
    <xf numFmtId="43" fontId="42" fillId="2" borderId="10" xfId="1" applyFont="1" applyFill="1" applyBorder="1" applyAlignment="1">
      <alignment vertical="center"/>
    </xf>
    <xf numFmtId="43" fontId="3" fillId="2" borderId="9" xfId="1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43" fontId="2" fillId="4" borderId="9" xfId="1" applyFont="1" applyFill="1" applyBorder="1" applyAlignment="1">
      <alignment vertical="center"/>
    </xf>
    <xf numFmtId="43" fontId="2" fillId="4" borderId="1" xfId="1" applyFont="1" applyFill="1" applyBorder="1" applyAlignment="1">
      <alignment vertical="center"/>
    </xf>
    <xf numFmtId="164" fontId="2" fillId="4" borderId="1" xfId="1" applyNumberFormat="1" applyFont="1" applyFill="1" applyBorder="1" applyAlignment="1">
      <alignment vertical="center"/>
    </xf>
    <xf numFmtId="43" fontId="2" fillId="4" borderId="10" xfId="0" applyNumberFormat="1" applyFont="1" applyFill="1" applyBorder="1" applyAlignment="1">
      <alignment vertical="center"/>
    </xf>
    <xf numFmtId="43" fontId="3" fillId="4" borderId="9" xfId="1" applyFont="1" applyFill="1" applyBorder="1" applyAlignment="1">
      <alignment vertical="center"/>
    </xf>
    <xf numFmtId="43" fontId="42" fillId="4" borderId="1" xfId="1" applyFont="1" applyFill="1" applyBorder="1" applyAlignment="1">
      <alignment vertical="center"/>
    </xf>
    <xf numFmtId="43" fontId="42" fillId="9" borderId="1" xfId="1" applyFont="1" applyFill="1" applyBorder="1" applyAlignment="1">
      <alignment vertical="center"/>
    </xf>
    <xf numFmtId="43" fontId="42" fillId="9" borderId="10" xfId="1" applyFont="1" applyFill="1" applyBorder="1" applyAlignment="1">
      <alignment vertical="center"/>
    </xf>
    <xf numFmtId="43" fontId="42" fillId="10" borderId="1" xfId="1" applyFont="1" applyFill="1" applyBorder="1" applyAlignment="1">
      <alignment vertical="center"/>
    </xf>
    <xf numFmtId="43" fontId="2" fillId="10" borderId="10" xfId="0" applyNumberFormat="1" applyFont="1" applyFill="1" applyBorder="1" applyAlignment="1">
      <alignment vertical="center"/>
    </xf>
    <xf numFmtId="43" fontId="19" fillId="0" borderId="0" xfId="0" applyNumberFormat="1" applyFont="1" applyAlignment="1">
      <alignment vertical="center"/>
    </xf>
    <xf numFmtId="43" fontId="3" fillId="9" borderId="70" xfId="1" applyFont="1" applyFill="1" applyBorder="1" applyAlignment="1">
      <alignment horizontal="right" vertical="center"/>
    </xf>
    <xf numFmtId="43" fontId="3" fillId="9" borderId="2" xfId="1" applyFont="1" applyFill="1" applyBorder="1" applyAlignment="1">
      <alignment horizontal="right" vertical="center"/>
    </xf>
    <xf numFmtId="43" fontId="3" fillId="9" borderId="3" xfId="1" applyFont="1" applyFill="1" applyBorder="1" applyAlignment="1">
      <alignment horizontal="right" vertical="center"/>
    </xf>
    <xf numFmtId="43" fontId="3" fillId="10" borderId="70" xfId="1" applyFont="1" applyFill="1" applyBorder="1" applyAlignment="1">
      <alignment horizontal="right" vertical="center"/>
    </xf>
    <xf numFmtId="43" fontId="3" fillId="10" borderId="2" xfId="1" applyFont="1" applyFill="1" applyBorder="1" applyAlignment="1">
      <alignment horizontal="right" vertical="center"/>
    </xf>
    <xf numFmtId="43" fontId="3" fillId="10" borderId="3" xfId="1" applyFont="1" applyFill="1" applyBorder="1" applyAlignment="1">
      <alignment horizontal="right" vertical="center"/>
    </xf>
    <xf numFmtId="0" fontId="43" fillId="0" borderId="0" xfId="0" applyFont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horizontal="center" vertical="center"/>
    </xf>
    <xf numFmtId="0" fontId="4" fillId="10" borderId="6" xfId="0" applyFont="1" applyFill="1" applyBorder="1" applyAlignment="1">
      <alignment horizontal="center" vertical="center"/>
    </xf>
    <xf numFmtId="0" fontId="4" fillId="10" borderId="7" xfId="0" applyFont="1" applyFill="1" applyBorder="1" applyAlignment="1">
      <alignment horizontal="center" vertical="center"/>
    </xf>
    <xf numFmtId="0" fontId="4" fillId="10" borderId="8" xfId="0" applyFont="1" applyFill="1" applyBorder="1" applyAlignment="1">
      <alignment horizontal="center" vertical="center"/>
    </xf>
    <xf numFmtId="0" fontId="8" fillId="7" borderId="55" xfId="0" applyFont="1" applyFill="1" applyBorder="1" applyAlignment="1" applyProtection="1">
      <alignment horizontal="center" vertical="center"/>
      <protection hidden="1"/>
    </xf>
    <xf numFmtId="0" fontId="32" fillId="0" borderId="67" xfId="0" applyFont="1" applyBorder="1" applyAlignment="1">
      <alignment horizontal="left" vertical="top" wrapText="1"/>
    </xf>
    <xf numFmtId="0" fontId="32" fillId="0" borderId="68" xfId="0" applyFont="1" applyBorder="1" applyAlignment="1">
      <alignment horizontal="left" vertical="top" wrapText="1"/>
    </xf>
    <xf numFmtId="0" fontId="10" fillId="5" borderId="28" xfId="0" applyFont="1" applyFill="1" applyBorder="1" applyAlignment="1">
      <alignment horizontal="right" vertical="center"/>
    </xf>
    <xf numFmtId="0" fontId="10" fillId="5" borderId="29" xfId="0" applyFont="1" applyFill="1" applyBorder="1" applyAlignment="1">
      <alignment horizontal="right" vertical="center"/>
    </xf>
    <xf numFmtId="0" fontId="10" fillId="5" borderId="30" xfId="0" applyFont="1" applyFill="1" applyBorder="1" applyAlignment="1">
      <alignment horizontal="right" vertical="center"/>
    </xf>
    <xf numFmtId="0" fontId="31" fillId="3" borderId="52" xfId="0" applyFont="1" applyFill="1" applyBorder="1" applyAlignment="1">
      <alignment horizontal="left" vertical="center" wrapText="1"/>
    </xf>
    <xf numFmtId="0" fontId="31" fillId="3" borderId="53" xfId="0" applyFont="1" applyFill="1" applyBorder="1" applyAlignment="1">
      <alignment horizontal="left" vertical="center" wrapText="1"/>
    </xf>
    <xf numFmtId="0" fontId="31" fillId="3" borderId="54" xfId="0" applyFont="1" applyFill="1" applyBorder="1" applyAlignment="1">
      <alignment horizontal="left" vertical="center" wrapText="1"/>
    </xf>
    <xf numFmtId="0" fontId="10" fillId="6" borderId="21" xfId="0" applyFont="1" applyFill="1" applyBorder="1" applyAlignment="1">
      <alignment horizontal="right" vertical="center"/>
    </xf>
    <xf numFmtId="0" fontId="10" fillId="6" borderId="34" xfId="0" applyFont="1" applyFill="1" applyBorder="1" applyAlignment="1">
      <alignment horizontal="right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13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22" xfId="0" applyFont="1" applyFill="1" applyBorder="1" applyAlignment="1">
      <alignment horizontal="center" vertical="center"/>
    </xf>
    <xf numFmtId="0" fontId="41" fillId="8" borderId="4" xfId="0" applyFont="1" applyFill="1" applyBorder="1" applyAlignment="1">
      <alignment horizontal="center" vertical="center"/>
    </xf>
    <xf numFmtId="0" fontId="41" fillId="8" borderId="13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/>
    </xf>
    <xf numFmtId="43" fontId="13" fillId="8" borderId="25" xfId="1" applyFont="1" applyFill="1" applyBorder="1" applyAlignment="1" applyProtection="1">
      <alignment horizontal="center" vertical="center"/>
    </xf>
    <xf numFmtId="43" fontId="13" fillId="8" borderId="26" xfId="1" applyFont="1" applyFill="1" applyBorder="1" applyAlignment="1" applyProtection="1">
      <alignment horizontal="center" vertical="center"/>
    </xf>
    <xf numFmtId="43" fontId="13" fillId="8" borderId="27" xfId="1" applyFont="1" applyFill="1" applyBorder="1" applyAlignment="1" applyProtection="1">
      <alignment horizontal="center" vertical="center"/>
    </xf>
    <xf numFmtId="0" fontId="21" fillId="8" borderId="16" xfId="0" applyFont="1" applyFill="1" applyBorder="1" applyAlignment="1">
      <alignment horizontal="left" vertical="center"/>
    </xf>
    <xf numFmtId="0" fontId="11" fillId="8" borderId="16" xfId="0" applyFont="1" applyFill="1" applyBorder="1" applyAlignment="1">
      <alignment horizontal="left"/>
    </xf>
    <xf numFmtId="0" fontId="15" fillId="8" borderId="41" xfId="0" applyFont="1" applyFill="1" applyBorder="1" applyAlignment="1">
      <alignment horizontal="center" vertical="center" wrapText="1"/>
    </xf>
    <xf numFmtId="0" fontId="15" fillId="8" borderId="43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right" vertical="center"/>
    </xf>
    <xf numFmtId="0" fontId="10" fillId="6" borderId="37" xfId="0" applyFont="1" applyFill="1" applyBorder="1" applyAlignment="1">
      <alignment horizontal="right" vertical="center"/>
    </xf>
    <xf numFmtId="0" fontId="21" fillId="8" borderId="17" xfId="0" applyFont="1" applyFill="1" applyBorder="1" applyAlignment="1">
      <alignment horizontal="left" vertical="center"/>
    </xf>
    <xf numFmtId="0" fontId="21" fillId="8" borderId="19" xfId="0" applyFont="1" applyFill="1" applyBorder="1" applyAlignment="1">
      <alignment horizontal="left" vertical="center"/>
    </xf>
    <xf numFmtId="0" fontId="21" fillId="8" borderId="18" xfId="0" applyFont="1" applyFill="1" applyBorder="1" applyAlignment="1">
      <alignment horizontal="left" vertical="center"/>
    </xf>
    <xf numFmtId="166" fontId="21" fillId="8" borderId="42" xfId="0" applyNumberFormat="1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vertical="center"/>
    </xf>
    <xf numFmtId="0" fontId="21" fillId="8" borderId="16" xfId="0" applyFont="1" applyFill="1" applyBorder="1" applyAlignment="1">
      <alignment horizontal="center" vertical="center"/>
    </xf>
    <xf numFmtId="166" fontId="21" fillId="8" borderId="39" xfId="0" applyNumberFormat="1" applyFont="1" applyFill="1" applyBorder="1" applyAlignment="1">
      <alignment horizontal="center" vertical="center"/>
    </xf>
    <xf numFmtId="0" fontId="21" fillId="8" borderId="40" xfId="0" applyFont="1" applyFill="1" applyBorder="1" applyAlignment="1">
      <alignment vertical="center"/>
    </xf>
    <xf numFmtId="0" fontId="9" fillId="8" borderId="0" xfId="0" applyFont="1" applyFill="1" applyAlignment="1" applyProtection="1">
      <alignment horizontal="center" vertical="center"/>
      <protection locked="0"/>
    </xf>
    <xf numFmtId="0" fontId="44" fillId="8" borderId="0" xfId="0" applyFont="1" applyFill="1" applyAlignment="1" applyProtection="1">
      <alignment horizontal="center" vertical="center"/>
      <protection locked="0"/>
    </xf>
    <xf numFmtId="0" fontId="30" fillId="8" borderId="14" xfId="0" applyFont="1" applyFill="1" applyBorder="1" applyAlignment="1" applyProtection="1">
      <alignment horizontal="center" vertical="center"/>
      <protection locked="0"/>
    </xf>
    <xf numFmtId="0" fontId="20" fillId="6" borderId="15" xfId="0" applyFont="1" applyFill="1" applyBorder="1" applyAlignment="1">
      <alignment horizontal="center" vertical="center"/>
    </xf>
    <xf numFmtId="0" fontId="11" fillId="8" borderId="39" xfId="0" applyFont="1" applyFill="1" applyBorder="1" applyAlignment="1">
      <alignment horizontal="right" vertical="center"/>
    </xf>
    <xf numFmtId="0" fontId="11" fillId="8" borderId="40" xfId="0" applyFont="1" applyFill="1" applyBorder="1" applyAlignment="1">
      <alignment horizontal="right" vertical="center"/>
    </xf>
    <xf numFmtId="0" fontId="11" fillId="8" borderId="42" xfId="0" applyFont="1" applyFill="1" applyBorder="1" applyAlignment="1">
      <alignment horizontal="right" vertical="center"/>
    </xf>
    <xf numFmtId="0" fontId="11" fillId="8" borderId="16" xfId="0" applyFont="1" applyFill="1" applyBorder="1" applyAlignment="1">
      <alignment horizontal="right" vertical="center"/>
    </xf>
    <xf numFmtId="0" fontId="11" fillId="8" borderId="46" xfId="0" applyFont="1" applyFill="1" applyBorder="1" applyAlignment="1">
      <alignment horizontal="right" vertical="center"/>
    </xf>
    <xf numFmtId="0" fontId="11" fillId="8" borderId="47" xfId="0" applyFont="1" applyFill="1" applyBorder="1" applyAlignment="1">
      <alignment horizontal="right" vertical="center"/>
    </xf>
    <xf numFmtId="0" fontId="39" fillId="0" borderId="17" xfId="0" applyFont="1" applyBorder="1" applyAlignment="1" applyProtection="1">
      <alignment horizontal="left" vertical="center"/>
      <protection locked="0"/>
    </xf>
    <xf numFmtId="0" fontId="39" fillId="0" borderId="18" xfId="0" applyFont="1" applyBorder="1" applyAlignment="1" applyProtection="1">
      <alignment horizontal="left" vertical="center"/>
      <protection locked="0"/>
    </xf>
    <xf numFmtId="0" fontId="34" fillId="0" borderId="17" xfId="0" applyFont="1" applyBorder="1" applyAlignment="1" applyProtection="1">
      <alignment horizontal="left" vertical="center"/>
      <protection locked="0"/>
    </xf>
    <xf numFmtId="0" fontId="34" fillId="0" borderId="18" xfId="0" applyFont="1" applyBorder="1" applyAlignment="1" applyProtection="1">
      <alignment horizontal="left" vertical="center"/>
      <protection locked="0"/>
    </xf>
    <xf numFmtId="0" fontId="34" fillId="0" borderId="48" xfId="0" applyFont="1" applyBorder="1" applyAlignment="1" applyProtection="1">
      <alignment horizontal="left" vertical="center"/>
      <protection locked="0"/>
    </xf>
    <xf numFmtId="0" fontId="34" fillId="0" borderId="49" xfId="0" applyFont="1" applyBorder="1" applyAlignment="1" applyProtection="1">
      <alignment horizontal="left" vertical="center"/>
      <protection locked="0"/>
    </xf>
    <xf numFmtId="0" fontId="21" fillId="8" borderId="40" xfId="0" applyFont="1" applyFill="1" applyBorder="1" applyAlignment="1">
      <alignment horizontal="center" vertical="center"/>
    </xf>
    <xf numFmtId="43" fontId="21" fillId="8" borderId="16" xfId="1" applyFont="1" applyFill="1" applyBorder="1" applyAlignment="1">
      <alignment horizontal="center" vertical="center"/>
    </xf>
    <xf numFmtId="0" fontId="23" fillId="8" borderId="43" xfId="0" applyFont="1" applyFill="1" applyBorder="1" applyAlignment="1" applyProtection="1">
      <alignment horizontal="center" vertical="center"/>
      <protection hidden="1"/>
    </xf>
    <xf numFmtId="0" fontId="23" fillId="8" borderId="43" xfId="0" applyFont="1" applyFill="1" applyBorder="1" applyAlignment="1">
      <alignment horizontal="center" vertical="center"/>
    </xf>
    <xf numFmtId="0" fontId="23" fillId="8" borderId="50" xfId="0" applyFont="1" applyFill="1" applyBorder="1" applyAlignment="1">
      <alignment horizontal="center" vertical="center"/>
    </xf>
    <xf numFmtId="0" fontId="21" fillId="8" borderId="47" xfId="0" applyFont="1" applyFill="1" applyBorder="1" applyAlignment="1">
      <alignment vertical="center"/>
    </xf>
    <xf numFmtId="0" fontId="34" fillId="0" borderId="44" xfId="0" applyFont="1" applyBorder="1" applyAlignment="1" applyProtection="1">
      <alignment vertical="center"/>
      <protection locked="0"/>
    </xf>
    <xf numFmtId="0" fontId="34" fillId="0" borderId="45" xfId="0" applyFont="1" applyBorder="1" applyAlignment="1" applyProtection="1">
      <alignment vertical="center"/>
      <protection locked="0"/>
    </xf>
    <xf numFmtId="0" fontId="34" fillId="0" borderId="17" xfId="0" applyFont="1" applyBorder="1" applyAlignment="1" applyProtection="1">
      <alignment vertical="center"/>
      <protection locked="0"/>
    </xf>
    <xf numFmtId="0" fontId="34" fillId="0" borderId="18" xfId="0" applyFont="1" applyBorder="1" applyAlignment="1" applyProtection="1">
      <alignment vertical="center"/>
      <protection locked="0"/>
    </xf>
    <xf numFmtId="166" fontId="21" fillId="8" borderId="46" xfId="0" applyNumberFormat="1" applyFont="1" applyFill="1" applyBorder="1" applyAlignment="1">
      <alignment horizontal="center" vertical="center"/>
    </xf>
    <xf numFmtId="0" fontId="21" fillId="8" borderId="17" xfId="0" applyFont="1" applyFill="1" applyBorder="1" applyAlignment="1" applyProtection="1">
      <alignment horizontal="left" vertical="center"/>
      <protection locked="0"/>
    </xf>
    <xf numFmtId="0" fontId="21" fillId="8" borderId="19" xfId="0" applyFont="1" applyFill="1" applyBorder="1" applyAlignment="1" applyProtection="1">
      <alignment horizontal="left" vertical="center"/>
      <protection locked="0"/>
    </xf>
    <xf numFmtId="0" fontId="21" fillId="8" borderId="18" xfId="0" applyFont="1" applyFill="1" applyBorder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view="pageBreakPreview" zoomScaleNormal="100" zoomScaleSheetLayoutView="100" workbookViewId="0">
      <selection activeCell="A2" sqref="A2:E2"/>
    </sheetView>
  </sheetViews>
  <sheetFormatPr defaultColWidth="9.1796875" defaultRowHeight="14"/>
  <cols>
    <col min="1" max="1" width="19.81640625" style="1" customWidth="1"/>
    <col min="2" max="2" width="19.26953125" style="1" customWidth="1"/>
    <col min="3" max="3" width="9.54296875" style="1" customWidth="1"/>
    <col min="4" max="4" width="18" style="1" customWidth="1"/>
    <col min="5" max="5" width="17.81640625" style="1" bestFit="1" customWidth="1"/>
    <col min="6" max="6" width="20.1796875" style="1" customWidth="1"/>
    <col min="7" max="7" width="18.26953125" style="1" customWidth="1"/>
    <col min="8" max="8" width="8.453125" style="1" customWidth="1"/>
    <col min="9" max="9" width="20.453125" style="1" bestFit="1" customWidth="1"/>
    <col min="10" max="10" width="17.453125" style="1" customWidth="1"/>
    <col min="11" max="11" width="13.7265625" style="1" customWidth="1"/>
    <col min="12" max="16384" width="9.1796875" style="1"/>
  </cols>
  <sheetData>
    <row r="1" spans="1:10" ht="28" thickBot="1">
      <c r="A1" s="157" t="s">
        <v>131</v>
      </c>
      <c r="B1" s="157"/>
      <c r="C1" s="157"/>
      <c r="D1" s="157"/>
      <c r="E1" s="157"/>
      <c r="F1" s="157"/>
      <c r="G1" s="157"/>
      <c r="H1" s="157"/>
      <c r="I1" s="157"/>
      <c r="J1" s="157"/>
    </row>
    <row r="2" spans="1:10" ht="31.5" customHeight="1">
      <c r="A2" s="158" t="s">
        <v>6</v>
      </c>
      <c r="B2" s="159"/>
      <c r="C2" s="159"/>
      <c r="D2" s="159"/>
      <c r="E2" s="160"/>
      <c r="F2" s="161" t="s">
        <v>0</v>
      </c>
      <c r="G2" s="162"/>
      <c r="H2" s="162"/>
      <c r="I2" s="162"/>
      <c r="J2" s="163"/>
    </row>
    <row r="3" spans="1:10" ht="31.5" customHeight="1">
      <c r="A3" s="10" t="s">
        <v>2</v>
      </c>
      <c r="B3" s="11" t="s">
        <v>3</v>
      </c>
      <c r="C3" s="11" t="s">
        <v>1</v>
      </c>
      <c r="D3" s="11" t="s">
        <v>4</v>
      </c>
      <c r="E3" s="12" t="s">
        <v>5</v>
      </c>
      <c r="F3" s="137" t="s">
        <v>2</v>
      </c>
      <c r="G3" s="138" t="s">
        <v>3</v>
      </c>
      <c r="H3" s="138" t="s">
        <v>1</v>
      </c>
      <c r="I3" s="138" t="s">
        <v>4</v>
      </c>
      <c r="J3" s="139" t="s">
        <v>5</v>
      </c>
    </row>
    <row r="4" spans="1:10" ht="31.5" customHeight="1">
      <c r="A4" s="6">
        <v>500000</v>
      </c>
      <c r="B4" s="7">
        <f>A4</f>
        <v>500000</v>
      </c>
      <c r="C4" s="8">
        <v>1</v>
      </c>
      <c r="D4" s="7">
        <f>(B4*C4)/100</f>
        <v>5000</v>
      </c>
      <c r="E4" s="9">
        <f>D4</f>
        <v>5000</v>
      </c>
      <c r="F4" s="140">
        <v>600000</v>
      </c>
      <c r="G4" s="141">
        <f>F4</f>
        <v>600000</v>
      </c>
      <c r="H4" s="142">
        <v>1</v>
      </c>
      <c r="I4" s="141">
        <f>(G4*H4)/100</f>
        <v>6000</v>
      </c>
      <c r="J4" s="143">
        <f>I4</f>
        <v>6000</v>
      </c>
    </row>
    <row r="5" spans="1:10" ht="31.5" customHeight="1">
      <c r="A5" s="6">
        <v>700000</v>
      </c>
      <c r="B5" s="7">
        <f>A5-A4</f>
        <v>200000</v>
      </c>
      <c r="C5" s="8">
        <v>10</v>
      </c>
      <c r="D5" s="7">
        <f t="shared" ref="D5:D6" si="0">(B5*C5)/100</f>
        <v>20000</v>
      </c>
      <c r="E5" s="9">
        <f>E4+D5</f>
        <v>25000</v>
      </c>
      <c r="F5" s="140">
        <v>800000</v>
      </c>
      <c r="G5" s="141">
        <f>F5-F4</f>
        <v>200000</v>
      </c>
      <c r="H5" s="142">
        <v>10</v>
      </c>
      <c r="I5" s="141">
        <f t="shared" ref="I5:I7" si="1">(G5*H5)/100</f>
        <v>20000</v>
      </c>
      <c r="J5" s="143">
        <f>I5+J4</f>
        <v>26000</v>
      </c>
    </row>
    <row r="6" spans="1:10" ht="31.5" customHeight="1">
      <c r="A6" s="6">
        <v>1000000</v>
      </c>
      <c r="B6" s="7">
        <f>A6-A5</f>
        <v>300000</v>
      </c>
      <c r="C6" s="8">
        <v>20</v>
      </c>
      <c r="D6" s="7">
        <f t="shared" si="0"/>
        <v>60000</v>
      </c>
      <c r="E6" s="9">
        <f t="shared" ref="E6" si="2">E5+D6</f>
        <v>85000</v>
      </c>
      <c r="F6" s="140">
        <v>1100000</v>
      </c>
      <c r="G6" s="141">
        <f>F6-F5</f>
        <v>300000</v>
      </c>
      <c r="H6" s="142">
        <v>20</v>
      </c>
      <c r="I6" s="141">
        <f t="shared" si="1"/>
        <v>60000</v>
      </c>
      <c r="J6" s="143">
        <f t="shared" ref="J6:J7" si="3">I6+J5</f>
        <v>86000</v>
      </c>
    </row>
    <row r="7" spans="1:10" ht="31.5" customHeight="1">
      <c r="A7" s="6">
        <v>2000000</v>
      </c>
      <c r="B7" s="7">
        <f>A7-A6</f>
        <v>1000000</v>
      </c>
      <c r="C7" s="8">
        <v>30</v>
      </c>
      <c r="D7" s="7">
        <f>(B7*C7)/100</f>
        <v>300000</v>
      </c>
      <c r="E7" s="9">
        <f>E6+D7</f>
        <v>385000</v>
      </c>
      <c r="F7" s="140">
        <v>2000000</v>
      </c>
      <c r="G7" s="141">
        <f>F7-F6</f>
        <v>900000</v>
      </c>
      <c r="H7" s="142">
        <v>30</v>
      </c>
      <c r="I7" s="141">
        <f t="shared" si="1"/>
        <v>270000</v>
      </c>
      <c r="J7" s="143">
        <f t="shared" si="3"/>
        <v>356000</v>
      </c>
    </row>
    <row r="8" spans="1:10" ht="31.5" customHeight="1">
      <c r="A8" s="6">
        <v>5000000</v>
      </c>
      <c r="B8" s="7">
        <f>A8-A7</f>
        <v>3000000</v>
      </c>
      <c r="C8" s="8">
        <v>36</v>
      </c>
      <c r="D8" s="134">
        <f t="shared" ref="D8" si="4">(B8*C8)/100</f>
        <v>1080000</v>
      </c>
      <c r="E8" s="135">
        <f t="shared" ref="E8" si="5">E7+D8</f>
        <v>1465000</v>
      </c>
      <c r="F8" s="140">
        <v>5000000</v>
      </c>
      <c r="G8" s="141">
        <f>F8-F7</f>
        <v>3000000</v>
      </c>
      <c r="H8" s="142">
        <v>36</v>
      </c>
      <c r="I8" s="141">
        <f t="shared" ref="I8" si="6">(G8*H8)/100</f>
        <v>1080000</v>
      </c>
      <c r="J8" s="143">
        <f t="shared" ref="J8" si="7">I8+J7</f>
        <v>1436000</v>
      </c>
    </row>
    <row r="9" spans="1:10" ht="31.5" customHeight="1">
      <c r="A9" s="136" t="s">
        <v>125</v>
      </c>
      <c r="B9" s="134" t="s">
        <v>126</v>
      </c>
      <c r="C9" s="8">
        <v>39</v>
      </c>
      <c r="D9" s="134">
        <f>1000000*C9%</f>
        <v>390000</v>
      </c>
      <c r="E9" s="135">
        <f t="shared" ref="E9" si="8">E8+D9</f>
        <v>1855000</v>
      </c>
      <c r="F9" s="144" t="s">
        <v>125</v>
      </c>
      <c r="G9" s="144" t="s">
        <v>126</v>
      </c>
      <c r="H9" s="142">
        <v>39</v>
      </c>
      <c r="I9" s="145">
        <f>1000000*H9%</f>
        <v>390000</v>
      </c>
      <c r="J9" s="143">
        <f t="shared" ref="J9" si="9">I9+J8</f>
        <v>1826000</v>
      </c>
    </row>
    <row r="10" spans="1:10" ht="22.5">
      <c r="A10" s="151" t="s">
        <v>127</v>
      </c>
      <c r="B10" s="152"/>
      <c r="C10" s="153"/>
      <c r="D10" s="146">
        <f>SUM(D4:D9)</f>
        <v>1855000</v>
      </c>
      <c r="E10" s="147"/>
      <c r="F10" s="154" t="s">
        <v>127</v>
      </c>
      <c r="G10" s="155"/>
      <c r="H10" s="156"/>
      <c r="I10" s="148">
        <f>SUM(I4:I9)</f>
        <v>1826000</v>
      </c>
      <c r="J10" s="149"/>
    </row>
    <row r="11" spans="1:10">
      <c r="A11" s="2"/>
      <c r="B11" s="2"/>
      <c r="C11" s="3"/>
      <c r="D11" s="2"/>
      <c r="E11" s="2"/>
      <c r="F11" s="2"/>
      <c r="G11" s="2"/>
      <c r="H11" s="3"/>
      <c r="I11" s="2"/>
      <c r="J11" s="4"/>
    </row>
    <row r="12" spans="1:10" ht="22" hidden="1">
      <c r="A12" s="14" t="s">
        <v>82</v>
      </c>
      <c r="B12" s="2"/>
      <c r="C12" s="3"/>
      <c r="D12" s="14" t="s">
        <v>83</v>
      </c>
      <c r="E12" s="2"/>
      <c r="F12" s="2"/>
      <c r="G12" s="2"/>
      <c r="H12" s="14" t="s">
        <v>84</v>
      </c>
      <c r="I12" s="2"/>
      <c r="J12" s="4"/>
    </row>
    <row r="13" spans="1:10" ht="22" hidden="1">
      <c r="A13" s="8">
        <v>1</v>
      </c>
      <c r="B13" s="13" t="s">
        <v>80</v>
      </c>
      <c r="C13" s="3"/>
      <c r="D13" s="8">
        <v>1</v>
      </c>
      <c r="E13" s="13" t="s">
        <v>79</v>
      </c>
      <c r="F13" s="2"/>
      <c r="H13" s="8">
        <v>1</v>
      </c>
      <c r="I13" s="13" t="s">
        <v>114</v>
      </c>
      <c r="J13" s="4"/>
    </row>
    <row r="14" spans="1:10" ht="22" hidden="1">
      <c r="A14" s="8">
        <v>2</v>
      </c>
      <c r="B14" s="13" t="s">
        <v>81</v>
      </c>
      <c r="C14" s="3"/>
      <c r="D14" s="8">
        <v>2</v>
      </c>
      <c r="E14" s="13" t="s">
        <v>78</v>
      </c>
      <c r="F14" s="2"/>
      <c r="H14" s="8">
        <v>2</v>
      </c>
      <c r="I14" s="13" t="s">
        <v>113</v>
      </c>
      <c r="J14" s="4"/>
    </row>
    <row r="15" spans="1:10" hidden="1">
      <c r="A15" s="2"/>
      <c r="B15" s="2"/>
      <c r="C15" s="3"/>
      <c r="D15" s="2"/>
      <c r="E15" s="2"/>
      <c r="F15" s="2"/>
      <c r="H15" s="2"/>
      <c r="I15" s="3"/>
      <c r="J15" s="4"/>
    </row>
    <row r="16" spans="1:10" ht="22" hidden="1">
      <c r="A16" s="14" t="s">
        <v>85</v>
      </c>
      <c r="B16" s="2"/>
      <c r="C16" s="3"/>
      <c r="D16" s="14" t="s">
        <v>91</v>
      </c>
      <c r="E16" s="2"/>
      <c r="F16" s="2"/>
      <c r="H16" s="14" t="s">
        <v>104</v>
      </c>
      <c r="I16" s="3"/>
      <c r="J16" s="4"/>
    </row>
    <row r="17" spans="1:9" ht="44" hidden="1">
      <c r="A17" s="8">
        <v>0</v>
      </c>
      <c r="B17" s="13" t="s">
        <v>108</v>
      </c>
      <c r="C17" s="3"/>
      <c r="D17" s="8">
        <v>1</v>
      </c>
      <c r="E17" s="13" t="s">
        <v>92</v>
      </c>
      <c r="F17" s="2"/>
      <c r="H17" s="8">
        <v>1</v>
      </c>
      <c r="I17" s="13" t="s">
        <v>119</v>
      </c>
    </row>
    <row r="18" spans="1:9" ht="44" hidden="1">
      <c r="A18" s="8">
        <v>1</v>
      </c>
      <c r="B18" s="13" t="s">
        <v>86</v>
      </c>
      <c r="C18" s="5"/>
      <c r="D18" s="8">
        <v>2</v>
      </c>
      <c r="E18" s="13" t="s">
        <v>93</v>
      </c>
      <c r="H18" s="8">
        <v>2</v>
      </c>
      <c r="I18" s="13" t="s">
        <v>120</v>
      </c>
    </row>
    <row r="19" spans="1:9" ht="22" hidden="1">
      <c r="A19" s="8">
        <v>2</v>
      </c>
      <c r="B19" s="13" t="s">
        <v>87</v>
      </c>
      <c r="C19" s="5"/>
      <c r="D19" s="8">
        <v>3</v>
      </c>
      <c r="E19" s="13" t="s">
        <v>94</v>
      </c>
      <c r="H19" s="5"/>
    </row>
    <row r="20" spans="1:9" ht="22" hidden="1">
      <c r="A20" s="8">
        <v>3</v>
      </c>
      <c r="B20" s="13" t="s">
        <v>88</v>
      </c>
      <c r="D20" s="8">
        <v>4</v>
      </c>
      <c r="E20" s="13" t="s">
        <v>95</v>
      </c>
      <c r="H20" s="14" t="s">
        <v>105</v>
      </c>
      <c r="I20" s="2"/>
    </row>
    <row r="21" spans="1:9" ht="22" hidden="1">
      <c r="A21" s="8">
        <v>4</v>
      </c>
      <c r="B21" s="13" t="s">
        <v>89</v>
      </c>
      <c r="D21" s="8">
        <v>5</v>
      </c>
      <c r="E21" s="13" t="s">
        <v>96</v>
      </c>
      <c r="H21" s="8">
        <v>1</v>
      </c>
      <c r="I21" s="13" t="s">
        <v>106</v>
      </c>
    </row>
    <row r="22" spans="1:9" ht="22" hidden="1">
      <c r="A22" s="8">
        <v>5</v>
      </c>
      <c r="B22" s="13" t="s">
        <v>90</v>
      </c>
      <c r="D22" s="8">
        <v>6</v>
      </c>
      <c r="E22" s="13" t="s">
        <v>97</v>
      </c>
      <c r="H22" s="8">
        <v>2</v>
      </c>
      <c r="I22" s="13" t="s">
        <v>107</v>
      </c>
    </row>
    <row r="23" spans="1:9" ht="22" hidden="1">
      <c r="D23" s="8">
        <v>7</v>
      </c>
      <c r="E23" s="13" t="s">
        <v>98</v>
      </c>
      <c r="H23" s="5"/>
    </row>
    <row r="24" spans="1:9" ht="22" hidden="1">
      <c r="D24" s="8">
        <v>8</v>
      </c>
      <c r="E24" s="13" t="s">
        <v>99</v>
      </c>
      <c r="H24" s="5"/>
    </row>
    <row r="25" spans="1:9" ht="22" hidden="1">
      <c r="D25" s="8">
        <v>9</v>
      </c>
      <c r="E25" s="13" t="s">
        <v>100</v>
      </c>
      <c r="H25" s="5"/>
    </row>
    <row r="26" spans="1:9" ht="22" hidden="1">
      <c r="D26" s="8">
        <v>10</v>
      </c>
      <c r="E26" s="13" t="s">
        <v>101</v>
      </c>
      <c r="H26" s="5"/>
    </row>
    <row r="27" spans="1:9" ht="22" hidden="1">
      <c r="D27" s="8">
        <v>11</v>
      </c>
      <c r="E27" s="13" t="s">
        <v>102</v>
      </c>
      <c r="H27" s="5"/>
    </row>
    <row r="28" spans="1:9" ht="22" hidden="1">
      <c r="D28" s="8">
        <v>12</v>
      </c>
      <c r="E28" s="13" t="s">
        <v>103</v>
      </c>
      <c r="H28" s="5"/>
    </row>
    <row r="29" spans="1:9">
      <c r="H29" s="5"/>
    </row>
    <row r="30" spans="1:9">
      <c r="H30" s="5"/>
    </row>
    <row r="31" spans="1:9">
      <c r="H31" s="5"/>
    </row>
    <row r="32" spans="1:9">
      <c r="H32" s="5"/>
    </row>
    <row r="33" spans="8:8">
      <c r="H33" s="5"/>
    </row>
    <row r="34" spans="8:8">
      <c r="H34" s="5"/>
    </row>
    <row r="35" spans="8:8">
      <c r="H35" s="5"/>
    </row>
    <row r="36" spans="8:8">
      <c r="H36" s="5"/>
    </row>
    <row r="37" spans="8:8">
      <c r="H37" s="5"/>
    </row>
    <row r="38" spans="8:8">
      <c r="H38" s="5"/>
    </row>
    <row r="39" spans="8:8">
      <c r="H39" s="5"/>
    </row>
    <row r="40" spans="8:8">
      <c r="H40" s="5"/>
    </row>
    <row r="41" spans="8:8">
      <c r="H41" s="5"/>
    </row>
    <row r="42" spans="8:8">
      <c r="H42" s="5"/>
    </row>
    <row r="43" spans="8:8">
      <c r="H43" s="5"/>
    </row>
    <row r="44" spans="8:8">
      <c r="H44" s="5"/>
    </row>
    <row r="45" spans="8:8">
      <c r="H45" s="5"/>
    </row>
    <row r="46" spans="8:8">
      <c r="H46" s="5"/>
    </row>
    <row r="47" spans="8:8">
      <c r="H47" s="5"/>
    </row>
    <row r="48" spans="8:8">
      <c r="H48" s="5"/>
    </row>
    <row r="49" spans="8:8">
      <c r="H49" s="5"/>
    </row>
    <row r="50" spans="8:8">
      <c r="H50" s="5"/>
    </row>
    <row r="51" spans="8:8">
      <c r="H51" s="5"/>
    </row>
    <row r="52" spans="8:8">
      <c r="H52" s="5"/>
    </row>
    <row r="53" spans="8:8">
      <c r="H53" s="5"/>
    </row>
    <row r="54" spans="8:8">
      <c r="H54" s="5"/>
    </row>
    <row r="55" spans="8:8">
      <c r="H55" s="5"/>
    </row>
    <row r="56" spans="8:8">
      <c r="H56" s="5"/>
    </row>
    <row r="57" spans="8:8">
      <c r="H57" s="5"/>
    </row>
    <row r="58" spans="8:8">
      <c r="H58" s="5"/>
    </row>
    <row r="59" spans="8:8">
      <c r="H59" s="5"/>
    </row>
    <row r="60" spans="8:8">
      <c r="H60" s="5"/>
    </row>
    <row r="61" spans="8:8">
      <c r="H61" s="5"/>
    </row>
    <row r="62" spans="8:8">
      <c r="H62" s="5"/>
    </row>
    <row r="63" spans="8:8">
      <c r="H63" s="5"/>
    </row>
    <row r="64" spans="8:8">
      <c r="H64" s="5"/>
    </row>
    <row r="65" spans="8:8">
      <c r="H65" s="5"/>
    </row>
    <row r="66" spans="8:8">
      <c r="H66" s="5"/>
    </row>
    <row r="67" spans="8:8">
      <c r="H67" s="5"/>
    </row>
    <row r="68" spans="8:8">
      <c r="H68" s="5"/>
    </row>
    <row r="69" spans="8:8">
      <c r="H69" s="5"/>
    </row>
    <row r="70" spans="8:8">
      <c r="H70" s="5"/>
    </row>
    <row r="71" spans="8:8">
      <c r="H71" s="5"/>
    </row>
    <row r="72" spans="8:8">
      <c r="H72" s="5"/>
    </row>
    <row r="73" spans="8:8">
      <c r="H73" s="5"/>
    </row>
    <row r="74" spans="8:8">
      <c r="H74" s="5"/>
    </row>
  </sheetData>
  <sheetProtection algorithmName="SHA-512" hashValue="Um1SCXGXaZPQSZPUKeXNOsnFu7aUhoIYZ1lrPT5Vuf6XvvkyNxQozlN5Ngtb+tRpggflXWy6kWbn6VEWHSkAHA==" saltValue="QUBaT2z5Xa+xTD1GA+h/Og==" spinCount="100000" sheet="1" selectLockedCells="1"/>
  <mergeCells count="5">
    <mergeCell ref="A10:C10"/>
    <mergeCell ref="F10:H10"/>
    <mergeCell ref="A1:J1"/>
    <mergeCell ref="A2:E2"/>
    <mergeCell ref="F2:J2"/>
  </mergeCells>
  <printOptions horizontalCentered="1"/>
  <pageMargins left="0.2" right="0.2" top="0.75" bottom="0.75" header="0.3" footer="0.3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2"/>
  <sheetViews>
    <sheetView tabSelected="1" view="pageBreakPreview" topLeftCell="A53" zoomScaleNormal="100" zoomScaleSheetLayoutView="100" workbookViewId="0">
      <selection activeCell="E16" sqref="E16"/>
    </sheetView>
  </sheetViews>
  <sheetFormatPr defaultColWidth="8.81640625" defaultRowHeight="21.5"/>
  <cols>
    <col min="1" max="1" width="5.26953125" style="20" customWidth="1"/>
    <col min="2" max="2" width="29.54296875" style="20" customWidth="1"/>
    <col min="3" max="3" width="17.26953125" style="20" customWidth="1"/>
    <col min="4" max="4" width="14.7265625" style="20" customWidth="1"/>
    <col min="5" max="5" width="15.81640625" style="20" bestFit="1" customWidth="1"/>
    <col min="6" max="6" width="18" style="20" bestFit="1" customWidth="1"/>
    <col min="7" max="7" width="19.7265625" style="20" bestFit="1" customWidth="1"/>
    <col min="8" max="8" width="23" style="20" customWidth="1"/>
    <col min="9" max="10" width="8.81640625" style="20"/>
    <col min="11" max="11" width="19.26953125" style="20" bestFit="1" customWidth="1"/>
    <col min="12" max="16384" width="8.81640625" style="20"/>
  </cols>
  <sheetData>
    <row r="1" spans="1:8" s="19" customFormat="1" ht="17.5" customHeight="1">
      <c r="A1" s="200" t="s">
        <v>132</v>
      </c>
      <c r="B1" s="200"/>
      <c r="C1" s="200"/>
      <c r="D1" s="200"/>
      <c r="E1" s="200"/>
      <c r="F1" s="200"/>
      <c r="G1" s="200"/>
      <c r="H1" s="200"/>
    </row>
    <row r="2" spans="1:8" s="19" customFormat="1" ht="15.65" customHeight="1">
      <c r="A2" s="201" t="s">
        <v>133</v>
      </c>
      <c r="B2" s="201"/>
      <c r="C2" s="201"/>
      <c r="D2" s="201"/>
      <c r="E2" s="201"/>
      <c r="F2" s="201"/>
      <c r="G2" s="201"/>
      <c r="H2" s="201"/>
    </row>
    <row r="3" spans="1:8" s="19" customFormat="1" ht="3" customHeight="1">
      <c r="A3" s="200"/>
      <c r="B3" s="200"/>
      <c r="C3" s="200"/>
      <c r="D3" s="200"/>
      <c r="E3" s="200"/>
      <c r="F3" s="200"/>
      <c r="G3" s="200"/>
      <c r="H3" s="200"/>
    </row>
    <row r="4" spans="1:8" ht="27.75" customHeight="1" thickBot="1">
      <c r="A4" s="202" t="s">
        <v>134</v>
      </c>
      <c r="B4" s="202"/>
      <c r="C4" s="202"/>
      <c r="D4" s="202"/>
      <c r="E4" s="202"/>
      <c r="F4" s="202"/>
      <c r="G4" s="202"/>
      <c r="H4" s="202"/>
    </row>
    <row r="5" spans="1:8" ht="26.5" customHeight="1" thickBot="1">
      <c r="A5" s="203" t="s">
        <v>130</v>
      </c>
      <c r="B5" s="203"/>
      <c r="C5" s="203"/>
      <c r="D5" s="203"/>
      <c r="E5" s="203"/>
      <c r="F5" s="203"/>
      <c r="G5" s="203"/>
      <c r="H5" s="203"/>
    </row>
    <row r="6" spans="1:8" ht="22" thickBot="1">
      <c r="A6" s="21" t="s">
        <v>73</v>
      </c>
      <c r="B6" s="22"/>
      <c r="C6" s="22"/>
      <c r="D6" s="22"/>
      <c r="E6" s="22"/>
      <c r="F6" s="22"/>
      <c r="G6" s="22"/>
      <c r="H6" s="22"/>
    </row>
    <row r="7" spans="1:8" ht="18" customHeight="1" thickTop="1">
      <c r="A7" s="204" t="s">
        <v>66</v>
      </c>
      <c r="B7" s="205"/>
      <c r="C7" s="222" t="s">
        <v>135</v>
      </c>
      <c r="D7" s="223"/>
      <c r="E7" s="127"/>
      <c r="F7" s="127">
        <f>IF(E12=4,1,IF(E12=5,2,IF(E12=6,3,IF(E12=7,4,IF(E12=8,5,IF(E12=9,6,IF(E12=10,7,IF(E12=11,8,IF(E12=12,9,IF(E12=1,10,IF(E12=2,11,IF(E12=3,12,13))))))))))))</f>
        <v>3</v>
      </c>
      <c r="G7" s="98" t="s">
        <v>67</v>
      </c>
      <c r="H7" s="99"/>
    </row>
    <row r="8" spans="1:8" ht="18" customHeight="1">
      <c r="A8" s="206" t="s">
        <v>68</v>
      </c>
      <c r="B8" s="207"/>
      <c r="C8" s="224"/>
      <c r="D8" s="225"/>
      <c r="E8" s="128"/>
      <c r="F8" s="128">
        <f>IF(F12=4,1,IF(F12=5,2,IF(F12=6,3,IF(F12=7,4,IF(F12=8,5,IF(F12=9,6,IF(F12=10,7,IF(F12=11,8,IF(F12=12,9,IF(F12=1,10,IF(F12=2,11,IF(F12=3,12,13))))))))))))</f>
        <v>6</v>
      </c>
      <c r="G8" s="100" t="s">
        <v>55</v>
      </c>
      <c r="H8" s="101"/>
    </row>
    <row r="9" spans="1:8" ht="18" customHeight="1">
      <c r="A9" s="206" t="s">
        <v>53</v>
      </c>
      <c r="B9" s="207"/>
      <c r="C9" s="224"/>
      <c r="D9" s="225"/>
      <c r="E9" s="128"/>
      <c r="F9" s="128"/>
      <c r="G9" s="100" t="s">
        <v>54</v>
      </c>
      <c r="H9" s="101"/>
    </row>
    <row r="10" spans="1:8" ht="18" customHeight="1">
      <c r="A10" s="206" t="s">
        <v>74</v>
      </c>
      <c r="B10" s="207"/>
      <c r="C10" s="210" t="s">
        <v>80</v>
      </c>
      <c r="D10" s="211"/>
      <c r="E10" s="128">
        <f>IF(C10="पुरुष (Male)",1,IF(C10="महिला (Female)",2,0))</f>
        <v>1</v>
      </c>
      <c r="F10" s="129">
        <f>IF(H10="दम्पत्ति (Couple)",2,IF(H10="एकल (Single)",1,0))</f>
        <v>2</v>
      </c>
      <c r="G10" s="100" t="s">
        <v>69</v>
      </c>
      <c r="H10" s="101" t="s">
        <v>79</v>
      </c>
    </row>
    <row r="11" spans="1:8" ht="18" customHeight="1">
      <c r="A11" s="206" t="s">
        <v>70</v>
      </c>
      <c r="B11" s="207"/>
      <c r="C11" s="212" t="s">
        <v>114</v>
      </c>
      <c r="D11" s="213"/>
      <c r="E11" s="128">
        <f>IF(C11="अपाङ्ग हो",2,1)</f>
        <v>1</v>
      </c>
      <c r="F11" s="128">
        <f>IF(H11="क",1,IF(H11="ख",2,IF(H11="ग",3,IF(H11="घ",4,IF(H11="ङ",5,0)))))</f>
        <v>5</v>
      </c>
      <c r="G11" s="100" t="s">
        <v>7</v>
      </c>
      <c r="H11" s="101" t="s">
        <v>90</v>
      </c>
    </row>
    <row r="12" spans="1:8" ht="18" customHeight="1">
      <c r="A12" s="206" t="s">
        <v>71</v>
      </c>
      <c r="B12" s="207"/>
      <c r="C12" s="212" t="s">
        <v>97</v>
      </c>
      <c r="D12" s="213"/>
      <c r="E12" s="128">
        <f>IF(C12="बैशाख",1,IF(C12="जेठ",2,IF(C12="आषाढ",3,IF(C12="श्रावण",4,IF(C12="भाद्र",5,IF(C12="आश्विन",6,IF(C12="कार्तिक",7,IF(C12="मंसिर",8,IF(C12="पौष",9,IF(C12="माघ",10,IF(C12="फाल्गुन",11,IF(C12="चैत्र",12,0))))))))))))</f>
        <v>6</v>
      </c>
      <c r="F12" s="128">
        <f>IF(H12="बैशाख",1,IF(H12="जेठ",2,IF(H12="आषाढ",3,IF(H12="श्रावण",4,IF(H12="भाद्र",5,IF(H12="आश्विन",6,IF(H12="कार्तिक",7,IF(H12="मंसिर",8,IF(H12="पौष",9,IF(H12="माघ",10,IF(H12="फाल्गुन",11,IF(H12="चैत्र",12,0))))))))))))</f>
        <v>9</v>
      </c>
      <c r="G12" s="100" t="s">
        <v>72</v>
      </c>
      <c r="H12" s="101" t="s">
        <v>100</v>
      </c>
    </row>
    <row r="13" spans="1:8" ht="18" customHeight="1" thickBot="1">
      <c r="A13" s="208" t="s">
        <v>122</v>
      </c>
      <c r="B13" s="209"/>
      <c r="C13" s="214" t="s">
        <v>120</v>
      </c>
      <c r="D13" s="215"/>
      <c r="E13" s="130">
        <f>IF(C13="निवृत्तिभरण कोष कट्टी हुने",2,1)</f>
        <v>2</v>
      </c>
      <c r="F13" s="131">
        <f>IF(H13="गैर बासिन्दा",2,1)</f>
        <v>1</v>
      </c>
      <c r="G13" s="102" t="s">
        <v>75</v>
      </c>
      <c r="H13" s="103" t="s">
        <v>106</v>
      </c>
    </row>
    <row r="14" spans="1:8" ht="3.65" customHeight="1" thickTop="1">
      <c r="A14" s="104"/>
      <c r="B14" s="105"/>
      <c r="C14" s="106"/>
      <c r="D14" s="106"/>
      <c r="E14" s="107"/>
      <c r="F14" s="108"/>
      <c r="G14" s="109"/>
      <c r="H14" s="164" t="s">
        <v>8</v>
      </c>
    </row>
    <row r="15" spans="1:8" ht="22" thickBot="1">
      <c r="A15" s="110" t="s">
        <v>109</v>
      </c>
      <c r="B15" s="111"/>
      <c r="C15" s="111"/>
      <c r="D15" s="111"/>
      <c r="E15" s="111"/>
      <c r="F15" s="111"/>
      <c r="G15" s="112"/>
      <c r="H15" s="164"/>
    </row>
    <row r="16" spans="1:8" ht="18" customHeight="1" thickTop="1">
      <c r="A16" s="78">
        <v>1</v>
      </c>
      <c r="B16" s="79" t="s">
        <v>9</v>
      </c>
      <c r="C16" s="216" t="str">
        <f>"("&amp;C8&amp;" पदको)"</f>
        <v>( पदको)</v>
      </c>
      <c r="D16" s="216"/>
      <c r="E16" s="122">
        <v>43689</v>
      </c>
      <c r="F16" s="80">
        <v>12</v>
      </c>
      <c r="G16" s="81">
        <f>F16*E16</f>
        <v>524268</v>
      </c>
      <c r="H16" s="82"/>
    </row>
    <row r="17" spans="1:8" ht="18" customHeight="1">
      <c r="A17" s="195">
        <v>2</v>
      </c>
      <c r="B17" s="186" t="s">
        <v>11</v>
      </c>
      <c r="C17" s="30" t="s">
        <v>16</v>
      </c>
      <c r="D17" s="30" t="s">
        <v>12</v>
      </c>
      <c r="E17" s="217">
        <f>C18*D18</f>
        <v>0</v>
      </c>
      <c r="F17" s="197">
        <f>IF(F12&lt;4,F12+8,F12-4)</f>
        <v>5</v>
      </c>
      <c r="G17" s="217">
        <f>F17*E17</f>
        <v>0</v>
      </c>
      <c r="H17" s="218"/>
    </row>
    <row r="18" spans="1:8" ht="18" customHeight="1">
      <c r="A18" s="195"/>
      <c r="B18" s="186"/>
      <c r="C18" s="15">
        <v>0</v>
      </c>
      <c r="D18" s="16">
        <v>1457</v>
      </c>
      <c r="E18" s="217"/>
      <c r="F18" s="197"/>
      <c r="G18" s="217"/>
      <c r="H18" s="218"/>
    </row>
    <row r="19" spans="1:8" ht="18" customHeight="1">
      <c r="A19" s="195"/>
      <c r="B19" s="31" t="s">
        <v>13</v>
      </c>
      <c r="C19" s="24">
        <f>C18+1</f>
        <v>1</v>
      </c>
      <c r="D19" s="25">
        <f>D18</f>
        <v>1457</v>
      </c>
      <c r="E19" s="25">
        <f>C19*D19</f>
        <v>1457</v>
      </c>
      <c r="F19" s="30">
        <f>12-F17</f>
        <v>7</v>
      </c>
      <c r="G19" s="25">
        <f>F19*E19</f>
        <v>10199</v>
      </c>
      <c r="H19" s="83" t="s">
        <v>49</v>
      </c>
    </row>
    <row r="20" spans="1:8" ht="18" customHeight="1">
      <c r="A20" s="195"/>
      <c r="B20" s="31" t="s">
        <v>38</v>
      </c>
      <c r="C20" s="26" t="s">
        <v>39</v>
      </c>
      <c r="D20" s="16">
        <v>0</v>
      </c>
      <c r="E20" s="25">
        <f>D20</f>
        <v>0</v>
      </c>
      <c r="F20" s="30">
        <v>12</v>
      </c>
      <c r="G20" s="25">
        <f>F20*E20</f>
        <v>0</v>
      </c>
      <c r="H20" s="84"/>
    </row>
    <row r="21" spans="1:8" ht="18" customHeight="1">
      <c r="A21" s="195">
        <v>3</v>
      </c>
      <c r="B21" s="186" t="s">
        <v>10</v>
      </c>
      <c r="C21" s="30" t="s">
        <v>17</v>
      </c>
      <c r="D21" s="30" t="s">
        <v>18</v>
      </c>
      <c r="E21" s="217">
        <f>C22+D22</f>
        <v>43689</v>
      </c>
      <c r="F21" s="197">
        <v>1</v>
      </c>
      <c r="G21" s="217">
        <f>F21*E21</f>
        <v>43689</v>
      </c>
      <c r="H21" s="219"/>
    </row>
    <row r="22" spans="1:8" ht="18" customHeight="1">
      <c r="A22" s="195"/>
      <c r="B22" s="186"/>
      <c r="C22" s="25">
        <f>E16</f>
        <v>43689</v>
      </c>
      <c r="D22" s="25">
        <f>IF(F7&gt;=F8,E19,E17)+E20</f>
        <v>0</v>
      </c>
      <c r="E22" s="217"/>
      <c r="F22" s="197"/>
      <c r="G22" s="217"/>
      <c r="H22" s="219"/>
    </row>
    <row r="23" spans="1:8" ht="18" customHeight="1">
      <c r="A23" s="75">
        <v>4</v>
      </c>
      <c r="B23" s="186" t="s">
        <v>34</v>
      </c>
      <c r="C23" s="186"/>
      <c r="D23" s="186"/>
      <c r="E23" s="25">
        <v>400</v>
      </c>
      <c r="F23" s="30">
        <v>12</v>
      </c>
      <c r="G23" s="25">
        <f>F23*E23</f>
        <v>4800</v>
      </c>
      <c r="H23" s="84"/>
    </row>
    <row r="24" spans="1:8" ht="18" customHeight="1">
      <c r="A24" s="75">
        <v>5</v>
      </c>
      <c r="B24" s="227" t="s">
        <v>110</v>
      </c>
      <c r="C24" s="228"/>
      <c r="D24" s="229"/>
      <c r="E24" s="17">
        <v>108000</v>
      </c>
      <c r="F24" s="27">
        <v>1</v>
      </c>
      <c r="G24" s="25">
        <f>F24*E24</f>
        <v>108000</v>
      </c>
      <c r="H24" s="27"/>
    </row>
    <row r="25" spans="1:8" ht="18" customHeight="1">
      <c r="A25" s="75">
        <v>6</v>
      </c>
      <c r="B25" s="186" t="s">
        <v>14</v>
      </c>
      <c r="C25" s="186"/>
      <c r="D25" s="186"/>
      <c r="E25" s="25">
        <v>5000</v>
      </c>
      <c r="F25" s="30">
        <v>12</v>
      </c>
      <c r="G25" s="25">
        <f>F25*E25</f>
        <v>60000</v>
      </c>
      <c r="H25" s="84"/>
    </row>
    <row r="26" spans="1:8" ht="18" customHeight="1">
      <c r="A26" s="75">
        <v>7</v>
      </c>
      <c r="B26" s="196" t="s">
        <v>15</v>
      </c>
      <c r="C26" s="196"/>
      <c r="D26" s="196"/>
      <c r="E26" s="25">
        <v>10000</v>
      </c>
      <c r="F26" s="30">
        <v>1</v>
      </c>
      <c r="G26" s="25">
        <f t="shared" ref="G26:G28" si="0">F26*E26</f>
        <v>10000</v>
      </c>
      <c r="H26" s="84"/>
    </row>
    <row r="27" spans="1:8" ht="18" customHeight="1">
      <c r="A27" s="75">
        <v>8</v>
      </c>
      <c r="B27" s="196" t="s">
        <v>51</v>
      </c>
      <c r="C27" s="196"/>
      <c r="D27" s="196"/>
      <c r="E27" s="18">
        <v>1290</v>
      </c>
      <c r="F27" s="28">
        <v>1</v>
      </c>
      <c r="G27" s="25">
        <f t="shared" si="0"/>
        <v>1290</v>
      </c>
      <c r="H27" s="84"/>
    </row>
    <row r="28" spans="1:8" ht="18" customHeight="1">
      <c r="A28" s="195">
        <v>9</v>
      </c>
      <c r="B28" s="196" t="s">
        <v>19</v>
      </c>
      <c r="C28" s="196"/>
      <c r="D28" s="196"/>
      <c r="E28" s="25">
        <f>(E16+E17+E20)*10%</f>
        <v>4368.9000000000005</v>
      </c>
      <c r="F28" s="30">
        <f>F17</f>
        <v>5</v>
      </c>
      <c r="G28" s="25">
        <f t="shared" si="0"/>
        <v>21844.500000000004</v>
      </c>
      <c r="H28" s="84"/>
    </row>
    <row r="29" spans="1:8" ht="18" customHeight="1">
      <c r="A29" s="195"/>
      <c r="B29" s="196" t="s">
        <v>20</v>
      </c>
      <c r="C29" s="196"/>
      <c r="D29" s="196"/>
      <c r="E29" s="25">
        <f>(E16+E19+E20)*10%</f>
        <v>4514.6000000000004</v>
      </c>
      <c r="F29" s="30">
        <f>F19</f>
        <v>7</v>
      </c>
      <c r="G29" s="25">
        <f>F29*E29</f>
        <v>31602.200000000004</v>
      </c>
      <c r="H29" s="84"/>
    </row>
    <row r="30" spans="1:8" ht="18" customHeight="1">
      <c r="A30" s="195">
        <v>10</v>
      </c>
      <c r="B30" s="196" t="s">
        <v>62</v>
      </c>
      <c r="C30" s="196"/>
      <c r="D30" s="196"/>
      <c r="E30" s="25">
        <f>IF(E13=2,((E16+E17+E20)*6%),0)</f>
        <v>2621.3399999999997</v>
      </c>
      <c r="F30" s="30">
        <f>F17</f>
        <v>5</v>
      </c>
      <c r="G30" s="25">
        <f>F30*E30</f>
        <v>13106.699999999999</v>
      </c>
      <c r="H30" s="219" t="s">
        <v>64</v>
      </c>
    </row>
    <row r="31" spans="1:8" ht="18" customHeight="1" thickBot="1">
      <c r="A31" s="226"/>
      <c r="B31" s="221" t="s">
        <v>63</v>
      </c>
      <c r="C31" s="221"/>
      <c r="D31" s="221"/>
      <c r="E31" s="87">
        <f>IF(E13=2,((E16+E19+E20)*6%),0)</f>
        <v>2708.7599999999998</v>
      </c>
      <c r="F31" s="88">
        <f>F19</f>
        <v>7</v>
      </c>
      <c r="G31" s="87">
        <f>F31*E31</f>
        <v>18961.32</v>
      </c>
      <c r="H31" s="220"/>
    </row>
    <row r="32" spans="1:8" ht="18.649999999999999" customHeight="1" thickTop="1" thickBot="1">
      <c r="A32" s="190" t="s">
        <v>52</v>
      </c>
      <c r="B32" s="191"/>
      <c r="C32" s="191"/>
      <c r="D32" s="191"/>
      <c r="E32" s="191"/>
      <c r="F32" s="191"/>
      <c r="G32" s="85">
        <f>SUM(G16:G31)</f>
        <v>847760.71999999986</v>
      </c>
      <c r="H32" s="86"/>
    </row>
    <row r="33" spans="1:8" ht="4.9000000000000004" customHeight="1" thickTop="1">
      <c r="A33" s="104"/>
      <c r="B33" s="105"/>
      <c r="C33" s="106"/>
      <c r="D33" s="106"/>
      <c r="E33" s="107"/>
      <c r="F33" s="108"/>
      <c r="G33" s="109"/>
      <c r="H33" s="164" t="s">
        <v>8</v>
      </c>
    </row>
    <row r="34" spans="1:8" ht="18.649999999999999" customHeight="1" thickBot="1">
      <c r="A34" s="110" t="s">
        <v>111</v>
      </c>
      <c r="B34" s="111"/>
      <c r="C34" s="111"/>
      <c r="D34" s="111"/>
      <c r="E34" s="111"/>
      <c r="F34" s="111"/>
      <c r="G34" s="112"/>
      <c r="H34" s="164"/>
    </row>
    <row r="35" spans="1:8" ht="18" customHeight="1" thickTop="1">
      <c r="A35" s="198">
        <v>1</v>
      </c>
      <c r="B35" s="199" t="s">
        <v>19</v>
      </c>
      <c r="C35" s="199"/>
      <c r="D35" s="199"/>
      <c r="E35" s="72">
        <f>E28*2</f>
        <v>8737.8000000000011</v>
      </c>
      <c r="F35" s="73">
        <f>F17</f>
        <v>5</v>
      </c>
      <c r="G35" s="74">
        <f>E35*F35</f>
        <v>43689.000000000007</v>
      </c>
      <c r="H35" s="188" t="str">
        <f>" रु. ५,००,००० (पाँच लाख) वा 
बार्षिक निर्धारणयोग्य आयको एक तिहाइ: रु." &amp; ROUNDUP(G32/3,2) &amp;" वा वास्तविक योगदान रकम: रु. " &amp;  ROUNDUP(SUM(G35:G40),2) &amp; " मध्ये जुन घटी हुन्छ त्यही अवकाश कोषमा गएको (रु. " &amp; ROUNDUP(MIN(500000,G32/3,SUM(G35:G40)),2) &amp; ") रकम छुट पाउने"</f>
        <v xml:space="preserve"> रु. ५,००,००० (पाँच लाख) वा 
बार्षिक निर्धारणयोग्य आयको एक तिहाइ: रु.282586.91 वा वास्तविक योगदान रकम: रु. 207029.44 मध्ये जुन घटी हुन्छ त्यही अवकाश कोषमा गएको (रु. 207029.44) रकम छुट पाउने</v>
      </c>
    </row>
    <row r="36" spans="1:8" ht="18" customHeight="1">
      <c r="A36" s="195"/>
      <c r="B36" s="196" t="s">
        <v>20</v>
      </c>
      <c r="C36" s="196"/>
      <c r="D36" s="196"/>
      <c r="E36" s="34">
        <f>E29*2</f>
        <v>9029.2000000000007</v>
      </c>
      <c r="F36" s="36">
        <f>F19</f>
        <v>7</v>
      </c>
      <c r="G36" s="37">
        <f t="shared" ref="G36:G40" si="1">E36*F36</f>
        <v>63204.400000000009</v>
      </c>
      <c r="H36" s="189"/>
    </row>
    <row r="37" spans="1:8" ht="18" customHeight="1">
      <c r="A37" s="195">
        <v>2</v>
      </c>
      <c r="B37" s="196" t="s">
        <v>76</v>
      </c>
      <c r="C37" s="196"/>
      <c r="D37" s="196"/>
      <c r="E37" s="34">
        <f>E30*2</f>
        <v>5242.6799999999994</v>
      </c>
      <c r="F37" s="36">
        <f>F30</f>
        <v>5</v>
      </c>
      <c r="G37" s="37">
        <f t="shared" si="1"/>
        <v>26213.399999999998</v>
      </c>
      <c r="H37" s="189"/>
    </row>
    <row r="38" spans="1:8" ht="18" customHeight="1">
      <c r="A38" s="195"/>
      <c r="B38" s="196" t="s">
        <v>77</v>
      </c>
      <c r="C38" s="196"/>
      <c r="D38" s="196"/>
      <c r="E38" s="34">
        <f>E31*2</f>
        <v>5417.5199999999995</v>
      </c>
      <c r="F38" s="36">
        <f>F31</f>
        <v>7</v>
      </c>
      <c r="G38" s="37">
        <f t="shared" si="1"/>
        <v>37922.639999999999</v>
      </c>
      <c r="H38" s="189"/>
    </row>
    <row r="39" spans="1:8" ht="18" customHeight="1">
      <c r="A39" s="195">
        <v>3</v>
      </c>
      <c r="B39" s="196" t="s">
        <v>21</v>
      </c>
      <c r="C39" s="196"/>
      <c r="D39" s="196"/>
      <c r="E39" s="18">
        <v>3000</v>
      </c>
      <c r="F39" s="38">
        <f>F17</f>
        <v>5</v>
      </c>
      <c r="G39" s="37">
        <f t="shared" si="1"/>
        <v>15000</v>
      </c>
      <c r="H39" s="189"/>
    </row>
    <row r="40" spans="1:8" ht="18" customHeight="1">
      <c r="A40" s="195"/>
      <c r="B40" s="196" t="s">
        <v>22</v>
      </c>
      <c r="C40" s="196"/>
      <c r="D40" s="196"/>
      <c r="E40" s="18">
        <f>E39</f>
        <v>3000</v>
      </c>
      <c r="F40" s="38">
        <f>F19</f>
        <v>7</v>
      </c>
      <c r="G40" s="37">
        <f t="shared" si="1"/>
        <v>21000</v>
      </c>
      <c r="H40" s="189"/>
    </row>
    <row r="41" spans="1:8" ht="27">
      <c r="A41" s="75">
        <v>4</v>
      </c>
      <c r="B41" s="31" t="s">
        <v>51</v>
      </c>
      <c r="C41" s="197" t="str">
        <f>C16</f>
        <v>( पदको)</v>
      </c>
      <c r="D41" s="197"/>
      <c r="E41" s="132">
        <f>E27</f>
        <v>1290</v>
      </c>
      <c r="F41" s="36">
        <f>F27</f>
        <v>1</v>
      </c>
      <c r="G41" s="37">
        <f>IF(AND(F11=1,G27&gt;=50000),50000,IF(AND(F11=2,G27&gt;=40000),40000,IF(AND(F11=3,G27&gt;=30000),30000,IF(AND(F11=4,G27&gt;=20000),20000,IF(AND(F11=5,G27&gt;=10000),10000,IF(F11=0,0,G27))))))</f>
        <v>1290</v>
      </c>
      <c r="H41" s="76" t="s">
        <v>121</v>
      </c>
    </row>
    <row r="42" spans="1:8" ht="18" customHeight="1">
      <c r="A42" s="75">
        <v>5</v>
      </c>
      <c r="B42" s="196" t="s">
        <v>33</v>
      </c>
      <c r="C42" s="196"/>
      <c r="D42" s="196"/>
      <c r="E42" s="35">
        <v>800</v>
      </c>
      <c r="F42" s="36">
        <v>12</v>
      </c>
      <c r="G42" s="37">
        <f>E42*F42</f>
        <v>9600</v>
      </c>
      <c r="H42" s="189" t="s">
        <v>117</v>
      </c>
    </row>
    <row r="43" spans="1:8" ht="18" customHeight="1">
      <c r="A43" s="75">
        <v>6</v>
      </c>
      <c r="B43" s="186" t="s">
        <v>35</v>
      </c>
      <c r="C43" s="187"/>
      <c r="D43" s="187"/>
      <c r="E43" s="18">
        <v>0</v>
      </c>
      <c r="F43" s="36">
        <v>1</v>
      </c>
      <c r="G43" s="37">
        <f>IF((E43*F43)&gt;(40000-G42),(40000-G42),IF(E43&gt;0,E43,0))</f>
        <v>0</v>
      </c>
      <c r="H43" s="189"/>
    </row>
    <row r="44" spans="1:8" ht="18" customHeight="1">
      <c r="A44" s="75">
        <v>7</v>
      </c>
      <c r="B44" s="186" t="s">
        <v>37</v>
      </c>
      <c r="C44" s="186"/>
      <c r="D44" s="186"/>
      <c r="E44" s="18">
        <v>0</v>
      </c>
      <c r="F44" s="36">
        <v>1</v>
      </c>
      <c r="G44" s="37">
        <f>IF((E44*F44)&gt;20000,20000,IF(E44&gt;0,E44,0))</f>
        <v>0</v>
      </c>
      <c r="H44" s="77" t="s">
        <v>36</v>
      </c>
    </row>
    <row r="45" spans="1:8" ht="17.5" customHeight="1">
      <c r="A45" s="75">
        <v>8</v>
      </c>
      <c r="B45" s="29" t="s">
        <v>57</v>
      </c>
      <c r="C45" s="29"/>
      <c r="D45" s="29"/>
      <c r="E45" s="18"/>
      <c r="F45" s="39">
        <v>1</v>
      </c>
      <c r="G45" s="37">
        <f>IF((E45*F45)&gt;5000,5000,IF(E45&gt;0,E45,0))</f>
        <v>0</v>
      </c>
      <c r="H45" s="77" t="s">
        <v>56</v>
      </c>
    </row>
    <row r="46" spans="1:8" ht="17.5" customHeight="1">
      <c r="A46" s="75">
        <v>9</v>
      </c>
      <c r="B46" s="29" t="s">
        <v>112</v>
      </c>
      <c r="C46" s="29"/>
      <c r="D46" s="29"/>
      <c r="E46" s="18">
        <v>0</v>
      </c>
      <c r="F46" s="39">
        <v>1</v>
      </c>
      <c r="G46" s="37">
        <f>(E46*F46)*75%</f>
        <v>0</v>
      </c>
      <c r="H46" s="77" t="s">
        <v>58</v>
      </c>
    </row>
    <row r="47" spans="1:8" ht="17.5" customHeight="1">
      <c r="A47" s="75">
        <v>10</v>
      </c>
      <c r="B47" s="192" t="s">
        <v>61</v>
      </c>
      <c r="C47" s="193"/>
      <c r="D47" s="194"/>
      <c r="E47" s="60">
        <f>IF(E11=2,D52*0.5,0)</f>
        <v>0</v>
      </c>
      <c r="F47" s="39">
        <v>1</v>
      </c>
      <c r="G47" s="37">
        <f>E47*F47</f>
        <v>0</v>
      </c>
      <c r="H47" s="76" t="str">
        <f>IF(E11=2,"थ्रेसहोल्ड रु. " &amp; D52 &amp; " को ५०% ","")</f>
        <v/>
      </c>
    </row>
    <row r="48" spans="1:8" ht="17.5" customHeight="1" thickBot="1">
      <c r="A48" s="89">
        <v>11</v>
      </c>
      <c r="B48" s="90" t="s">
        <v>59</v>
      </c>
      <c r="C48" s="90"/>
      <c r="D48" s="90"/>
      <c r="E48" s="91">
        <v>0</v>
      </c>
      <c r="F48" s="92">
        <v>1</v>
      </c>
      <c r="G48" s="93">
        <f>E48*F48</f>
        <v>0</v>
      </c>
      <c r="H48" s="94" t="s">
        <v>60</v>
      </c>
    </row>
    <row r="49" spans="1:11" ht="28" thickTop="1" thickBot="1">
      <c r="A49" s="190" t="s">
        <v>26</v>
      </c>
      <c r="B49" s="191"/>
      <c r="C49" s="191"/>
      <c r="D49" s="191"/>
      <c r="E49" s="191"/>
      <c r="F49" s="191"/>
      <c r="G49" s="70">
        <f>MIN(500000,G32/3,SUM(G35:G40))+SUM(G41:G48)</f>
        <v>217919.44</v>
      </c>
      <c r="H49" s="71" t="str">
        <f>"अवकाश कोषको छुट रु. " &amp; ROUNDUP(MIN(500000,G32/3,SUM(G35:G40)),2) &amp; " मात्र कायम "</f>
        <v xml:space="preserve">अवकाश कोषको छुट रु. 207029.44 मात्र कायम </v>
      </c>
    </row>
    <row r="50" spans="1:11" ht="3" customHeight="1" thickTop="1" thickBot="1">
      <c r="A50" s="23"/>
      <c r="B50" s="23"/>
      <c r="C50" s="23"/>
      <c r="D50" s="23"/>
      <c r="E50" s="23"/>
      <c r="F50" s="23"/>
      <c r="G50" s="23"/>
      <c r="H50" s="23"/>
    </row>
    <row r="51" spans="1:11" ht="22" thickTop="1">
      <c r="A51" s="63" t="s">
        <v>23</v>
      </c>
      <c r="B51" s="173" t="s">
        <v>27</v>
      </c>
      <c r="C51" s="173"/>
      <c r="D51" s="173"/>
      <c r="E51" s="173"/>
      <c r="F51" s="173"/>
      <c r="G51" s="64">
        <f>IF(F13=2,0,G32-G49)</f>
        <v>629841.2799999998</v>
      </c>
      <c r="H51" s="65"/>
    </row>
    <row r="52" spans="1:11">
      <c r="A52" s="66" t="s">
        <v>24</v>
      </c>
      <c r="B52" s="40" t="s">
        <v>118</v>
      </c>
      <c r="C52" s="41" t="str">
        <f>IF(F10=2, "दम्पत्ति","एकल")</f>
        <v>दम्पत्ति</v>
      </c>
      <c r="D52" s="43">
        <f>IF(F10=2,600000,500000)</f>
        <v>600000</v>
      </c>
      <c r="E52" s="42">
        <f>D52</f>
        <v>600000</v>
      </c>
      <c r="F52" s="41">
        <v>1</v>
      </c>
      <c r="G52" s="42">
        <f>F52*E52</f>
        <v>600000</v>
      </c>
      <c r="H52" s="67" t="str">
        <f>IF(G9=2, "दम्पत्तिको थ्रेसहोल्ड: रु. ","व्यक्तिको थ्रेसहोल्ड: रु. ") &amp; E52</f>
        <v>व्यक्तिको थ्रेसहोल्ड: रु. 600000</v>
      </c>
    </row>
    <row r="53" spans="1:11" ht="22" thickBot="1">
      <c r="A53" s="68" t="s">
        <v>25</v>
      </c>
      <c r="B53" s="174" t="s">
        <v>29</v>
      </c>
      <c r="C53" s="174"/>
      <c r="D53" s="174"/>
      <c r="E53" s="174"/>
      <c r="F53" s="174"/>
      <c r="G53" s="69">
        <f>IF(G51&gt;G52,G51-G52,0)</f>
        <v>29841.279999999795</v>
      </c>
      <c r="H53" s="123"/>
    </row>
    <row r="54" spans="1:11" ht="2.5" customHeight="1" thickTop="1" thickBot="1">
      <c r="A54" s="175"/>
      <c r="B54" s="176"/>
      <c r="C54" s="176"/>
      <c r="D54" s="176"/>
      <c r="E54" s="176"/>
      <c r="F54" s="176"/>
      <c r="G54" s="176"/>
      <c r="H54" s="177"/>
    </row>
    <row r="55" spans="1:11" ht="19.149999999999999" customHeight="1" thickTop="1">
      <c r="A55" s="53" t="s">
        <v>28</v>
      </c>
      <c r="B55" s="178" t="s">
        <v>31</v>
      </c>
      <c r="C55" s="178"/>
      <c r="D55" s="178"/>
      <c r="E55" s="178"/>
      <c r="F55" s="178"/>
      <c r="G55" s="178"/>
      <c r="H55" s="179"/>
    </row>
    <row r="56" spans="1:11" ht="18.649999999999999" customHeight="1">
      <c r="A56" s="54" t="s">
        <v>123</v>
      </c>
      <c r="B56" s="45" t="s">
        <v>129</v>
      </c>
      <c r="C56" s="44" t="s">
        <v>40</v>
      </c>
      <c r="D56" s="44" t="s">
        <v>12</v>
      </c>
      <c r="E56" s="44" t="s">
        <v>42</v>
      </c>
      <c r="F56" s="46" t="s">
        <v>41</v>
      </c>
      <c r="G56" s="47" t="s">
        <v>124</v>
      </c>
      <c r="H56" s="55" t="s">
        <v>43</v>
      </c>
    </row>
    <row r="57" spans="1:11" ht="18.649999999999999" customHeight="1">
      <c r="A57" s="56">
        <v>1</v>
      </c>
      <c r="B57" s="133" t="str">
        <f>"‍सामाजिक सुरक्षा कर: TDS:"&amp; IF(H57=0,ROUNDUP(0,2),IF(H58=0,ROUNDUP(G32/12,2),ROUNDUP(C57/12,2)))</f>
        <v>‍सामाजिक सुरक्षा कर: TDS:0</v>
      </c>
      <c r="C57" s="48">
        <f>IF(G51&gt;G52,G52,IF(G51&gt;D52,D52,G51))</f>
        <v>600000</v>
      </c>
      <c r="D57" s="49" t="s">
        <v>48</v>
      </c>
      <c r="E57" s="48">
        <f>IF(G51&gt;G52,G51-G52,0)</f>
        <v>29841.279999999795</v>
      </c>
      <c r="F57" s="50">
        <f>IF(E13=2,0,IF(E10=2,(C57*1%)*90%,(C57*1%)))</f>
        <v>0</v>
      </c>
      <c r="G57" s="51">
        <f>F57/12</f>
        <v>0</v>
      </c>
      <c r="H57" s="57">
        <f>G57</f>
        <v>0</v>
      </c>
    </row>
    <row r="58" spans="1:11" ht="18.649999999999999" customHeight="1">
      <c r="A58" s="56">
        <v>2</v>
      </c>
      <c r="B58" s="180" t="str">
        <f>"‍पारिश्रमिक कर : TDS:"&amp; IF(H58=0,0,IF(H57=0,ROUNDUP((G32)/12,2), ROUNDUP((G32-C57)/12,2)))</f>
        <v>‍पारिश्रमिक कर : TDS:70646.73</v>
      </c>
      <c r="C58" s="48" t="str">
        <f>IF(E57&gt;100000, "थप 200,000.00", "थप " &amp; ROUNDUP(E57,2))</f>
        <v>थप 29841.28</v>
      </c>
      <c r="D58" s="49" t="s">
        <v>45</v>
      </c>
      <c r="E58" s="48">
        <f>IF(E57&gt;200000,E57-200000,0)</f>
        <v>0</v>
      </c>
      <c r="F58" s="51">
        <f>IF(E10=2,IF(E57&lt;=200000,(E57*10%)*90%,20000*90%),IF(E57&lt;=200000,E57*10%,20000))</f>
        <v>2984.1279999999797</v>
      </c>
      <c r="G58" s="51">
        <f>F58/12</f>
        <v>248.67733333333163</v>
      </c>
      <c r="H58" s="183">
        <f>IF(F13=2,ROUNDUP(((G32-G41)*25%)/12,2),SUM(G58:G62))</f>
        <v>248.67733333333163</v>
      </c>
    </row>
    <row r="59" spans="1:11" ht="18.649999999999999" customHeight="1">
      <c r="A59" s="56">
        <v>3</v>
      </c>
      <c r="B59" s="181"/>
      <c r="C59" s="48" t="str">
        <f>IF(E58&gt;300000, "थप 300,000.00", "थप " &amp; ROUNDUP(E58,2))</f>
        <v>थप 0</v>
      </c>
      <c r="D59" s="49" t="s">
        <v>44</v>
      </c>
      <c r="E59" s="48">
        <f>IF(E58&gt;300000,E58-300000,0)</f>
        <v>0</v>
      </c>
      <c r="F59" s="51">
        <f>IF(E10=2,IF(E58&lt;=300000,(E58*20%)*90%,60000*90%),IF(E58&lt;=300000,E58*20%,60000))</f>
        <v>0</v>
      </c>
      <c r="G59" s="51">
        <f>F59/12</f>
        <v>0</v>
      </c>
      <c r="H59" s="184"/>
    </row>
    <row r="60" spans="1:11" ht="18.649999999999999" customHeight="1">
      <c r="A60" s="56">
        <v>4</v>
      </c>
      <c r="B60" s="181"/>
      <c r="C60" s="48" t="str">
        <f>IF(F10=2,IF(E59&gt;900000, "थप 9,00,000.00", "थप " &amp; ROUNDUP(E59,2) ),IF(E59&gt;1000000, "थप 10,00,000.00", "थप " &amp; ROUNDUP(E59,2)))</f>
        <v>थप 0</v>
      </c>
      <c r="D60" s="49" t="s">
        <v>47</v>
      </c>
      <c r="E60" s="48">
        <f>IF(F10=2,IF(E59&gt;900000,E59-900000,0),IF(E59&gt;1000000,E59-1000000,0))</f>
        <v>0</v>
      </c>
      <c r="F60" s="51">
        <f>IF(E10=2,IF(F10=2,IF(E59&lt;=900000,(E59*30%)*90%,270000*90%),IF(E59&lt;=1000000,(E59*30%)*90%,300000*90%)),IF(F10=2,IF(E59&lt;=900000,E59*30%,270000),IF(E59&lt;=1000000,E59*30%,300000)))</f>
        <v>0</v>
      </c>
      <c r="G60" s="51">
        <f t="shared" ref="G60:G61" si="2">F60/12</f>
        <v>0</v>
      </c>
      <c r="H60" s="184"/>
    </row>
    <row r="61" spans="1:11" ht="18.649999999999999" customHeight="1">
      <c r="A61" s="56">
        <v>5</v>
      </c>
      <c r="B61" s="181"/>
      <c r="C61" s="48" t="str">
        <f>IF(E60&gt;3000000, "थप 30,00,000.00", "थप " &amp; ROUNDUP(E60,2))</f>
        <v>थप 0</v>
      </c>
      <c r="D61" s="49" t="s">
        <v>46</v>
      </c>
      <c r="E61" s="48">
        <f>IF(E60&gt;3000000,E60-3000000,0)</f>
        <v>0</v>
      </c>
      <c r="F61" s="51">
        <f>IF(E10=2,IF(E60&lt;=3000000,(E60*36%)*90%,1080000*90%),IF(E60&lt;=3000000,E60*36%,1080000))</f>
        <v>0</v>
      </c>
      <c r="G61" s="51">
        <f t="shared" si="2"/>
        <v>0</v>
      </c>
      <c r="H61" s="184"/>
    </row>
    <row r="62" spans="1:11" ht="18.649999999999999" customHeight="1">
      <c r="A62" s="56">
        <v>6</v>
      </c>
      <c r="B62" s="182"/>
      <c r="C62" s="48" t="str">
        <f>"बाँकी " &amp; E61</f>
        <v>बाँकी 0</v>
      </c>
      <c r="D62" s="49" t="s">
        <v>128</v>
      </c>
      <c r="E62" s="48">
        <v>0</v>
      </c>
      <c r="F62" s="51">
        <f>IF(E10=2,E61*39%*90%,E61*39%)</f>
        <v>0</v>
      </c>
      <c r="G62" s="51">
        <f>F62/12</f>
        <v>0</v>
      </c>
      <c r="H62" s="185"/>
    </row>
    <row r="63" spans="1:11" ht="18.649999999999999" customHeight="1" thickBot="1">
      <c r="A63" s="167" t="s">
        <v>30</v>
      </c>
      <c r="B63" s="168"/>
      <c r="C63" s="168"/>
      <c r="D63" s="168"/>
      <c r="E63" s="169"/>
      <c r="F63" s="58">
        <f>IF(F13=2, ROUNDUP((G32-G41)*25%,2),SUM(F57:F62))</f>
        <v>2984.1279999999797</v>
      </c>
      <c r="G63" s="58">
        <f>IF(F13=2,ROUNDUP((G32*25%)/12,2),SUM(G57:G62))</f>
        <v>248.67733333333163</v>
      </c>
      <c r="H63" s="59">
        <f>SUM(H57:H62)</f>
        <v>248.67733333333163</v>
      </c>
      <c r="K63" s="150"/>
    </row>
    <row r="64" spans="1:11" ht="72" customHeight="1" thickTop="1" thickBot="1">
      <c r="A64" s="97" t="s">
        <v>50</v>
      </c>
      <c r="B64" s="170" t="str">
        <f>B65 &amp; " " &amp; B66 &amp; " " &amp; B67 &amp; " " &amp; B68 &amp; " " &amp; B69</f>
        <v xml:space="preserve"> निवृत्तभरण कोषमा योगदान गर्ने प्राकृत्तिक व्यक्तिको आयमा सामाजिक सुरक्षा कर छुट दिई कर गणना गरिएको ।   माथिको हिसावको अतिरिक्त आयकर (पन्ध्रौं संशोधन) नियमावली, २०७७ को नियम १७ को उपनियम (३) बमोजिम स्वीकृत औषधी उपचार खर्चबापत विल छ भने उक्त विल बमोजिमको वास्तविक खर्च रकमको १५% वा १,५००/- रुपैंयामा जुन घटी हुन्छ उक्त रकम तिर्नुपर्ने करमा मिलान गर्न सकिने । </v>
      </c>
      <c r="C64" s="171"/>
      <c r="D64" s="171"/>
      <c r="E64" s="171"/>
      <c r="F64" s="171"/>
      <c r="G64" s="171"/>
      <c r="H64" s="172"/>
    </row>
    <row r="65" spans="1:8" ht="22" hidden="1" thickTop="1">
      <c r="A65" s="95">
        <v>1</v>
      </c>
      <c r="B65" s="96" t="str">
        <f>IF(E10=2,"पारिश्रमिक आय मात्र आर्जन गर्ने महिलालाई तिर्नुपर्ने कर रकममा १० % छुट दिई कर गणना गरिएको ।","")</f>
        <v/>
      </c>
      <c r="C65" s="96"/>
      <c r="D65" s="96"/>
      <c r="E65" s="96"/>
      <c r="F65" s="96"/>
      <c r="G65" s="96"/>
      <c r="H65" s="96"/>
    </row>
    <row r="66" spans="1:8" hidden="1">
      <c r="A66" s="32">
        <v>2</v>
      </c>
      <c r="B66" s="33" t="str">
        <f>IF(E13=2,"निवृत्तभरण कोषमा योगदान गर्ने प्राकृत्तिक व्यक्तिको आयमा सामाजिक सुरक्षा कर छुट दिई कर गणना गरिएको । ", "")</f>
        <v xml:space="preserve">निवृत्तभरण कोषमा योगदान गर्ने प्राकृत्तिक व्यक्तिको आयमा सामाजिक सुरक्षा कर छुट दिई कर गणना गरिएको । </v>
      </c>
      <c r="C66" s="33"/>
      <c r="D66" s="33"/>
      <c r="E66" s="33"/>
      <c r="F66" s="33"/>
      <c r="G66" s="33"/>
      <c r="H66" s="33"/>
    </row>
    <row r="67" spans="1:8" hidden="1">
      <c r="A67" s="32">
        <v>3</v>
      </c>
      <c r="B67" s="33" t="str">
        <f>IF(E11=2,"अपाङ्ग प्राकृतिक व्यक्तिले करयोग्य आयबाट निजले छुट पाउने सीमामा थप ५०% थप गरी करयोग्य आय रकम घटाई कर गणना गरिएको ।","")</f>
        <v/>
      </c>
      <c r="C67" s="33"/>
      <c r="D67" s="33"/>
      <c r="E67" s="33"/>
      <c r="F67" s="33"/>
      <c r="G67" s="33"/>
      <c r="H67" s="33"/>
    </row>
    <row r="68" spans="1:8" hidden="1">
      <c r="A68" s="32">
        <v>4</v>
      </c>
      <c r="B68" s="33" t="str">
        <f>IF(B69="","माथिको हिसावको अतिरिक्त आयकर (पन्ध्रौं संशोधन) नियमावली, २०७७ को नियम १७ को उपनियम (३) बमोजिम स्वीकृत औषधी उपचार खर्चबापत विल छ भने उक्त विल बमोजिमको वास्तविक खर्च रकमको १५% वा १,५००/- रुपैंयामा जुन घटी हुन्छ उक्त रकम तिर्नुपर्ने करमा मिलान गर्न सकिने ।","")</f>
        <v>माथिको हिसावको अतिरिक्त आयकर (पन्ध्रौं संशोधन) नियमावली, २०७७ को नियम १७ को उपनियम (३) बमोजिम स्वीकृत औषधी उपचार खर्चबापत विल छ भने उक्त विल बमोजिमको वास्तविक खर्च रकमको १५% वा १,५००/- रुपैंयामा जुन घटी हुन्छ उक्त रकम तिर्नुपर्ने करमा मिलान गर्न सकिने ।</v>
      </c>
      <c r="C68" s="33"/>
      <c r="D68" s="33"/>
      <c r="E68" s="33"/>
      <c r="F68" s="33"/>
      <c r="G68" s="33"/>
      <c r="H68" s="33"/>
    </row>
    <row r="69" spans="1:8" ht="22" hidden="1" thickBot="1">
      <c r="A69" s="61">
        <v>5</v>
      </c>
      <c r="B69" s="33" t="str">
        <f>IF(F13=2,"कर तिर्ने व्यक्ति गैर बासिन्दा व्यक्ति भएकोले निजको निर्धारणयोग्य रोजगारी आयको २५% का दरले बार्षिक रु. " &amp; ROUNDUP(G32*25%,2) &amp; " तथा मासिक रु. " &amp; ROUNDUP((G32*25%)/12,2) &amp;" पारिश्रमिक कर गणना गरिएको । यस्तो अवस्थामा माथि उल्लेख भए बमोजिम छुट सुविधाहरु हिसाव गरी प्रत्येक स्ल्यावअनुसार सामाजिक सुरक्षा कर तथा पारिश्रमिक करको कर गणना नियम लागू नहुने ।","")</f>
        <v/>
      </c>
      <c r="C69" s="62"/>
      <c r="D69" s="62"/>
      <c r="E69" s="62"/>
      <c r="F69" s="62"/>
      <c r="G69" s="62"/>
      <c r="H69" s="62"/>
    </row>
    <row r="70" spans="1:8" ht="34.9" customHeight="1" thickTop="1" thickBot="1">
      <c r="A70" s="165" t="s">
        <v>116</v>
      </c>
      <c r="B70" s="166"/>
      <c r="C70" s="166"/>
      <c r="D70" s="166"/>
      <c r="E70" s="166"/>
      <c r="F70" s="166"/>
      <c r="G70" s="125" t="str">
        <f>"नामथर: "&amp;C7&amp;
"
हस्ताक्षर र मितिः"</f>
        <v>नामथर: सम्बन्धित व्यक्तिको नाम
हस्ताक्षर र मितिः</v>
      </c>
      <c r="H70" s="126"/>
    </row>
    <row r="71" spans="1:8" ht="16.149999999999999" customHeight="1" thickBot="1">
      <c r="A71" s="115"/>
      <c r="B71" s="113"/>
      <c r="C71" s="113"/>
      <c r="D71" s="113"/>
      <c r="E71" s="113"/>
      <c r="F71" s="113"/>
      <c r="G71" s="114"/>
      <c r="H71" s="124"/>
    </row>
    <row r="72" spans="1:8" s="52" customFormat="1" ht="15.65" customHeight="1" thickBot="1">
      <c r="A72" s="116" t="s">
        <v>32</v>
      </c>
      <c r="B72" s="117"/>
      <c r="C72" s="118" t="s">
        <v>65</v>
      </c>
      <c r="D72" s="119"/>
      <c r="E72" s="119"/>
      <c r="F72" s="119"/>
      <c r="G72" s="120"/>
      <c r="H72" s="121" t="s">
        <v>115</v>
      </c>
    </row>
  </sheetData>
  <sheetProtection algorithmName="SHA-512" hashValue="YC8GarPp9C++MH2I/MJoEyQyyokrSTvscVAZNBCX1SGZzt3idXJgNZB9xDaZThj0cZ7Pv2mxRKAhpbS4zAkqjg==" saltValue="VFNbwTL21DSwIWhjTLGXwg==" spinCount="100000" sheet="1" selectLockedCells="1"/>
  <mergeCells count="73">
    <mergeCell ref="H30:H31"/>
    <mergeCell ref="B31:D31"/>
    <mergeCell ref="A32:F32"/>
    <mergeCell ref="C7:D7"/>
    <mergeCell ref="C8:D8"/>
    <mergeCell ref="C9:D9"/>
    <mergeCell ref="A28:A29"/>
    <mergeCell ref="B28:D28"/>
    <mergeCell ref="B29:D29"/>
    <mergeCell ref="A30:A31"/>
    <mergeCell ref="B30:D30"/>
    <mergeCell ref="B23:D23"/>
    <mergeCell ref="B24:D24"/>
    <mergeCell ref="B25:D25"/>
    <mergeCell ref="B26:D26"/>
    <mergeCell ref="F17:F18"/>
    <mergeCell ref="G17:G18"/>
    <mergeCell ref="H17:H18"/>
    <mergeCell ref="A21:A22"/>
    <mergeCell ref="B21:B22"/>
    <mergeCell ref="E21:E22"/>
    <mergeCell ref="F21:F22"/>
    <mergeCell ref="G21:G22"/>
    <mergeCell ref="H21:H22"/>
    <mergeCell ref="C16:D16"/>
    <mergeCell ref="A17:A20"/>
    <mergeCell ref="B17:B18"/>
    <mergeCell ref="E17:E18"/>
    <mergeCell ref="B27:D27"/>
    <mergeCell ref="A13:B13"/>
    <mergeCell ref="A11:B11"/>
    <mergeCell ref="C10:D10"/>
    <mergeCell ref="C11:D11"/>
    <mergeCell ref="C12:D12"/>
    <mergeCell ref="C13:D13"/>
    <mergeCell ref="A7:B7"/>
    <mergeCell ref="A8:B8"/>
    <mergeCell ref="A9:B9"/>
    <mergeCell ref="A10:B10"/>
    <mergeCell ref="A12:B12"/>
    <mergeCell ref="A1:H1"/>
    <mergeCell ref="A2:H2"/>
    <mergeCell ref="A3:H3"/>
    <mergeCell ref="A4:H4"/>
    <mergeCell ref="A5:H5"/>
    <mergeCell ref="A35:A36"/>
    <mergeCell ref="B35:D35"/>
    <mergeCell ref="B36:D36"/>
    <mergeCell ref="A37:A38"/>
    <mergeCell ref="B37:D37"/>
    <mergeCell ref="B38:D38"/>
    <mergeCell ref="B47:D47"/>
    <mergeCell ref="A39:A40"/>
    <mergeCell ref="B39:D39"/>
    <mergeCell ref="B40:D40"/>
    <mergeCell ref="C41:D41"/>
    <mergeCell ref="B42:D42"/>
    <mergeCell ref="H14:H15"/>
    <mergeCell ref="H33:H34"/>
    <mergeCell ref="A70:F70"/>
    <mergeCell ref="A63:E63"/>
    <mergeCell ref="B64:H64"/>
    <mergeCell ref="B51:F51"/>
    <mergeCell ref="B53:F53"/>
    <mergeCell ref="A54:H54"/>
    <mergeCell ref="B55:H55"/>
    <mergeCell ref="B58:B62"/>
    <mergeCell ref="H58:H62"/>
    <mergeCell ref="B43:D43"/>
    <mergeCell ref="B44:D44"/>
    <mergeCell ref="H35:H40"/>
    <mergeCell ref="H42:H43"/>
    <mergeCell ref="A49:F49"/>
  </mergeCells>
  <dataValidations count="1">
    <dataValidation allowBlank="1" showInputMessage="1" showErrorMessage="1" sqref="E12 F11:F14 F33"/>
  </dataValidations>
  <printOptions horizontalCentered="1"/>
  <pageMargins left="0.45" right="0.45" top="0.25" bottom="0.25" header="0.2" footer="0.2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'Tax Rate FY 2082-83'!$A$13:$A$14</xm:f>
          </x14:formula1>
          <xm:sqref>D15 D34</xm:sqref>
        </x14:dataValidation>
        <x14:dataValidation type="list" allowBlank="1" showInputMessage="1" showErrorMessage="1">
          <x14:formula1>
            <xm:f>'Tax Rate FY 2082-83'!$B$13:$B$14</xm:f>
          </x14:formula1>
          <xm:sqref>C10</xm:sqref>
        </x14:dataValidation>
        <x14:dataValidation type="list" allowBlank="1" showInputMessage="1" showErrorMessage="1">
          <x14:formula1>
            <xm:f>'Tax Rate FY 2082-83'!$I$13:$I$14</xm:f>
          </x14:formula1>
          <xm:sqref>C11</xm:sqref>
        </x14:dataValidation>
        <x14:dataValidation type="list" allowBlank="1" showInputMessage="1" showErrorMessage="1">
          <x14:formula1>
            <xm:f>'Tax Rate FY 2082-83'!$B$17:$B$22</xm:f>
          </x14:formula1>
          <xm:sqref>H11</xm:sqref>
        </x14:dataValidation>
        <x14:dataValidation type="list" allowBlank="1" showInputMessage="1" showErrorMessage="1">
          <x14:formula1>
            <xm:f>'Tax Rate FY 2082-83'!$E$17:$E$28</xm:f>
          </x14:formula1>
          <xm:sqref>H12 C12</xm:sqref>
        </x14:dataValidation>
        <x14:dataValidation type="list" allowBlank="1" showInputMessage="1" showErrorMessage="1">
          <x14:formula1>
            <xm:f>'Tax Rate FY 2082-83'!$I$17:$I$18</xm:f>
          </x14:formula1>
          <xm:sqref>C13:C14 C33</xm:sqref>
        </x14:dataValidation>
        <x14:dataValidation type="list" allowBlank="1" showInputMessage="1" showErrorMessage="1">
          <x14:formula1>
            <xm:f>'Tax Rate FY 2082-83'!$I$21:$I$22</xm:f>
          </x14:formula1>
          <xm:sqref>H13</xm:sqref>
        </x14:dataValidation>
        <x14:dataValidation type="list" allowBlank="1" showInputMessage="1" showErrorMessage="1">
          <x14:formula1>
            <xm:f>'Tax Rate FY 2082-83'!$E$13:$E$14</xm:f>
          </x14:formula1>
          <xm:sqref>H10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Tax Rate FY 2082-83</vt:lpstr>
      <vt:lpstr> Calculation -2082-83  </vt:lpstr>
      <vt:lpstr>' Calculation -2082-83  '!Print_Area</vt:lpstr>
      <vt:lpstr>'Tax Rate FY 2082-83'!Print_Area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DTCO</dc:creator>
  <cp:lastModifiedBy>SUDIP</cp:lastModifiedBy>
  <cp:lastPrinted>2024-08-08T07:28:03Z</cp:lastPrinted>
  <dcterms:created xsi:type="dcterms:W3CDTF">2018-08-01T10:38:30Z</dcterms:created>
  <dcterms:modified xsi:type="dcterms:W3CDTF">2026-02-14T13:39:03Z</dcterms:modified>
</cp:coreProperties>
</file>